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500" windowHeight="8460" tabRatio="983" activeTab="2"/>
  </bookViews>
  <sheets>
    <sheet name="Instructions" sheetId="1" r:id="rId1"/>
    <sheet name="Input data" sheetId="2" r:id="rId2"/>
    <sheet name="Payback Time" sheetId="3" r:id="rId3"/>
    <sheet name="1. Windfarm CO2 emission saving" sheetId="4" r:id="rId4"/>
    <sheet name="2. CO2 loss due to turbine life" sheetId="5" r:id="rId5"/>
    <sheet name="3. CO2 loss due to backup" sheetId="6" r:id="rId6"/>
    <sheet name="4. Loss of CO2 fixing pot." sheetId="7" r:id="rId7"/>
    <sheet name="5. Loss of soil CO2" sheetId="8" r:id="rId8"/>
    <sheet name="5a. Volume of peat removed" sheetId="9" r:id="rId9"/>
    <sheet name="5b. CO2 loss from removed peat" sheetId="10" r:id="rId10"/>
    <sheet name="5c. Volume of peat drained" sheetId="11" r:id="rId11"/>
    <sheet name="5d. CO2 loss from drained peat" sheetId="12" r:id="rId12"/>
    <sheet name="5e. Emission rates from soils" sheetId="13" r:id="rId13"/>
    <sheet name="6. CO2 loss by DOC &amp; POC loss" sheetId="14" r:id="rId14"/>
    <sheet name="7. CO2 loss - felling forestry" sheetId="15" r:id="rId15"/>
    <sheet name="8. CO2 gain - site improvement" sheetId="16" r:id="rId16"/>
  </sheets>
  <definedNames/>
  <calcPr fullCalcOnLoad="1"/>
</workbook>
</file>

<file path=xl/comments2.xml><?xml version="1.0" encoding="utf-8"?>
<comments xmlns="http://schemas.openxmlformats.org/spreadsheetml/2006/main">
  <authors>
    <author>soi663</author>
  </authors>
  <commentList>
    <comment ref="F14" authorId="0">
      <text>
        <r>
          <rPr>
            <sz val="8"/>
            <rFont val="Tahoma"/>
            <family val="0"/>
          </rPr>
          <t xml:space="preserve">Lenzena, M., Munksgaardb, J. (2002). Energy and CO2 life-cycle analysesof wind turbines Review and applications. Renew. Energy.  26, 339-362.
</t>
        </r>
      </text>
    </comment>
    <comment ref="F15" authorId="0">
      <text>
        <r>
          <rPr>
            <sz val="8"/>
            <rFont val="Tahoma"/>
            <family val="0"/>
          </rPr>
          <t>DTI, ‘Energy trends’ March 2006, p. 29</t>
        </r>
      </text>
    </comment>
    <comment ref="F32" authorId="0">
      <text>
        <r>
          <rPr>
            <sz val="8"/>
            <rFont val="Tahoma"/>
            <family val="0"/>
          </rPr>
          <t xml:space="preserve">Botch, M.S., Kobak, K. I., Vinson, T. S. &amp; T. P. Kolchugina.(1995).Carbon pools andaccumulation in peatlands of the Former Soviet Union. Global Biogeochemical Cycles,9: 37-46.
</t>
        </r>
      </text>
    </comment>
    <comment ref="E14" authorId="0">
      <text>
        <r>
          <rPr>
            <sz val="8"/>
            <rFont val="Tahoma"/>
            <family val="0"/>
          </rPr>
          <t xml:space="preserve">White, W.S. (2007). Net energy payback and CO2 emissions from three Midwestern wind farms: an update. Natural Resources Research.
</t>
        </r>
      </text>
    </comment>
    <comment ref="E15" authorId="0">
      <text>
        <r>
          <rPr>
            <sz val="8"/>
            <rFont val="Tahoma"/>
            <family val="0"/>
          </rPr>
          <t>Windstats  News Letter,Vol:19,No:2 (Spring 2006)</t>
        </r>
      </text>
    </comment>
    <comment ref="E32" authorId="0">
      <text>
        <r>
          <rPr>
            <sz val="8"/>
            <rFont val="Tahoma"/>
            <family val="0"/>
          </rPr>
          <t xml:space="preserve">Turunen, J., Pitkänen, A., Tahvanainen, T. &amp; K. Tolonen, (2001). Carbon accumulation in West Siberian mires, Russia. Global Biogeochemical Cycles, 15: 285-296.
</t>
        </r>
      </text>
    </comment>
  </commentList>
</comments>
</file>

<file path=xl/sharedStrings.xml><?xml version="1.0" encoding="utf-8"?>
<sst xmlns="http://schemas.openxmlformats.org/spreadsheetml/2006/main" count="535" uniqueCount="411">
  <si>
    <r>
      <t>Site specific annual rate of methane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</si>
  <si>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IPCC annual rate of methane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</si>
  <si>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Selected annual rate of methane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</si>
  <si>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Site specific annual rate of carbon dioxide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</si>
  <si>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IPCC annual rate of carbon dioxide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</si>
  <si>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Selected annual rate of carbon dioxide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</si>
  <si>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Methane emissions from improved land</t>
  </si>
  <si>
    <t>Carbon dioxide emissions from improved land</t>
  </si>
  <si>
    <r>
      <t>Total GHG emissions from improved land (t CO</t>
    </r>
    <r>
      <rPr>
        <b/>
        <vertAlign val="subscript"/>
        <sz val="10"/>
        <rFont val="Arial"/>
        <family val="2"/>
      </rPr>
      <t>2</t>
    </r>
    <r>
      <rPr>
        <b/>
        <sz val="10"/>
        <rFont val="Arial"/>
        <family val="2"/>
      </rPr>
      <t xml:space="preserve"> equiv.)</t>
    </r>
  </si>
  <si>
    <t>Improved period (years)</t>
  </si>
  <si>
    <t>Water table depth after improvement (m)</t>
  </si>
  <si>
    <t>Grid-mix</t>
  </si>
  <si>
    <t>Coal-fired</t>
  </si>
  <si>
    <t>Capacity factor (percentage efficiency)</t>
  </si>
  <si>
    <t>Uncertanities</t>
  </si>
  <si>
    <t>INSTRUCTIONS</t>
  </si>
  <si>
    <t>multiplied by the emission factor for the counterfactual case (coal-fire generation and electricity from grid)</t>
  </si>
  <si>
    <t>Input data</t>
  </si>
  <si>
    <t>with the carbon-savings achieved by the windfarm while displacing electricity generated from coal-fired capacity or Grid-mix.</t>
  </si>
  <si>
    <t>Life time of wind farm (years)</t>
  </si>
  <si>
    <t>Note: The total emission savings are given by estimating the total possible electrical output of the windfarm</t>
  </si>
  <si>
    <t xml:space="preserve">Note: The carbon payback time of the wind farm is calculated by comparing the loss of C from the site due to windfarm development </t>
  </si>
  <si>
    <t>A</t>
  </si>
  <si>
    <t>B</t>
  </si>
  <si>
    <t>C</t>
  </si>
  <si>
    <t>D</t>
  </si>
  <si>
    <r>
      <t>Volume of peat removed from foundation area (m</t>
    </r>
    <r>
      <rPr>
        <vertAlign val="superscript"/>
        <sz val="10"/>
        <rFont val="Arial"/>
        <family val="2"/>
      </rPr>
      <t>3</t>
    </r>
    <r>
      <rPr>
        <sz val="10"/>
        <rFont val="Arial"/>
        <family val="0"/>
      </rPr>
      <t>)</t>
    </r>
  </si>
  <si>
    <r>
      <t>Volume of peat removed from hardstandingarea (m</t>
    </r>
    <r>
      <rPr>
        <vertAlign val="superscript"/>
        <sz val="10"/>
        <rFont val="Arial"/>
        <family val="2"/>
      </rPr>
      <t>3</t>
    </r>
    <r>
      <rPr>
        <sz val="10"/>
        <rFont val="Arial"/>
        <family val="0"/>
      </rPr>
      <t>)</t>
    </r>
  </si>
  <si>
    <t>Payback time</t>
  </si>
  <si>
    <t>E</t>
  </si>
  <si>
    <t>"Input data"</t>
  </si>
  <si>
    <t>"Payback time"</t>
  </si>
  <si>
    <t>Enter information into the pink-shaded cells in the worksheet</t>
  </si>
  <si>
    <t>View payback time shown in the yellow-shaded cells in the worksheet</t>
  </si>
  <si>
    <r>
      <t>2. CO</t>
    </r>
    <r>
      <rPr>
        <vertAlign val="subscript"/>
        <sz val="10"/>
        <rFont val="Comic Sans MS"/>
        <family val="4"/>
      </rPr>
      <t>2</t>
    </r>
    <r>
      <rPr>
        <sz val="10"/>
        <rFont val="Comic Sans MS"/>
        <family val="4"/>
      </rPr>
      <t xml:space="preserve"> loss due to turbine life</t>
    </r>
  </si>
  <si>
    <r>
      <t>3. CO</t>
    </r>
    <r>
      <rPr>
        <vertAlign val="subscript"/>
        <sz val="10"/>
        <rFont val="Comic Sans MS"/>
        <family val="4"/>
      </rPr>
      <t>2</t>
    </r>
    <r>
      <rPr>
        <sz val="10"/>
        <rFont val="Comic Sans MS"/>
        <family val="4"/>
      </rPr>
      <t xml:space="preserve"> loss due to backup</t>
    </r>
  </si>
  <si>
    <r>
      <t>1. Windfarm CO</t>
    </r>
    <r>
      <rPr>
        <vertAlign val="subscript"/>
        <sz val="10"/>
        <rFont val="Comic Sans MS"/>
        <family val="4"/>
      </rPr>
      <t>2</t>
    </r>
    <r>
      <rPr>
        <sz val="10"/>
        <rFont val="Comic Sans MS"/>
        <family val="4"/>
      </rPr>
      <t xml:space="preserve"> emission saving</t>
    </r>
  </si>
  <si>
    <r>
      <t>4. Loss of CO</t>
    </r>
    <r>
      <rPr>
        <vertAlign val="subscript"/>
        <sz val="10"/>
        <rFont val="Comic Sans MS"/>
        <family val="4"/>
      </rPr>
      <t>2</t>
    </r>
    <r>
      <rPr>
        <sz val="10"/>
        <rFont val="Comic Sans MS"/>
        <family val="4"/>
      </rPr>
      <t xml:space="preserve"> Fixing Pot.</t>
    </r>
  </si>
  <si>
    <r>
      <t>5. Loss of soil CO</t>
    </r>
    <r>
      <rPr>
        <vertAlign val="subscript"/>
        <sz val="10"/>
        <rFont val="Comic Sans MS"/>
        <family val="4"/>
      </rPr>
      <t>2</t>
    </r>
  </si>
  <si>
    <r>
      <t>5b. CO</t>
    </r>
    <r>
      <rPr>
        <vertAlign val="subscript"/>
        <sz val="10"/>
        <rFont val="Comic Sans MS"/>
        <family val="4"/>
      </rPr>
      <t>2</t>
    </r>
    <r>
      <rPr>
        <sz val="10"/>
        <rFont val="Comic Sans MS"/>
        <family val="4"/>
      </rPr>
      <t xml:space="preserve"> loss from removed peat</t>
    </r>
  </si>
  <si>
    <r>
      <t>5d. CO</t>
    </r>
    <r>
      <rPr>
        <vertAlign val="subscript"/>
        <sz val="10"/>
        <rFont val="Comic Sans MS"/>
        <family val="4"/>
      </rPr>
      <t>2</t>
    </r>
    <r>
      <rPr>
        <sz val="10"/>
        <rFont val="Comic Sans MS"/>
        <family val="4"/>
      </rPr>
      <t xml:space="preserve"> loss from drained peat</t>
    </r>
  </si>
  <si>
    <t>No. of turbines</t>
  </si>
  <si>
    <t>Number of borrow pits</t>
  </si>
  <si>
    <r>
      <t>Total volume of peat removed (m</t>
    </r>
    <r>
      <rPr>
        <b/>
        <vertAlign val="superscript"/>
        <sz val="10"/>
        <rFont val="Arial"/>
        <family val="2"/>
      </rPr>
      <t>3</t>
    </r>
    <r>
      <rPr>
        <b/>
        <sz val="10"/>
        <rFont val="Arial"/>
        <family val="2"/>
      </rPr>
      <t>) due to wind farm construction</t>
    </r>
  </si>
  <si>
    <t>Note: The input  parameters include some variables that can be specified by default values, but others that must be site specific.</t>
  </si>
  <si>
    <t>Borrow pits</t>
  </si>
  <si>
    <t>Wind turbine foundations</t>
  </si>
  <si>
    <t>Access tracks</t>
  </si>
  <si>
    <t>Existing track length (m)</t>
  </si>
  <si>
    <r>
      <t>Coal-fired plant emission factor (t CO</t>
    </r>
    <r>
      <rPr>
        <vertAlign val="subscript"/>
        <sz val="10"/>
        <rFont val="Arial"/>
        <family val="2"/>
      </rPr>
      <t>2</t>
    </r>
    <r>
      <rPr>
        <sz val="10"/>
        <rFont val="Arial"/>
        <family val="0"/>
      </rPr>
      <t xml:space="preserve"> MWh</t>
    </r>
    <r>
      <rPr>
        <vertAlign val="superscript"/>
        <sz val="10"/>
        <rFont val="Arial"/>
        <family val="2"/>
      </rPr>
      <t>-1</t>
    </r>
    <r>
      <rPr>
        <sz val="10"/>
        <rFont val="Arial"/>
        <family val="0"/>
      </rPr>
      <t>)</t>
    </r>
  </si>
  <si>
    <r>
      <t>Grid-mix emission factor (t CO</t>
    </r>
    <r>
      <rPr>
        <vertAlign val="subscript"/>
        <sz val="10"/>
        <rFont val="Arial"/>
        <family val="2"/>
      </rPr>
      <t>2</t>
    </r>
    <r>
      <rPr>
        <sz val="10"/>
        <rFont val="Arial"/>
        <family val="0"/>
      </rPr>
      <t xml:space="preserve"> MWh</t>
    </r>
    <r>
      <rPr>
        <vertAlign val="superscript"/>
        <sz val="10"/>
        <rFont val="Arial"/>
        <family val="2"/>
      </rPr>
      <t>-1</t>
    </r>
    <r>
      <rPr>
        <sz val="10"/>
        <rFont val="Arial"/>
        <family val="0"/>
      </rPr>
      <t>)</t>
    </r>
  </si>
  <si>
    <t>Total length of access track (m)</t>
  </si>
  <si>
    <t>Floating road width (m)</t>
  </si>
  <si>
    <t>Floating road depth (m)</t>
  </si>
  <si>
    <t>Excavated road depth (m)</t>
  </si>
  <si>
    <t>Excavated road width (m)</t>
  </si>
  <si>
    <t>Length of access track that is floating road (m)</t>
  </si>
  <si>
    <t>Length of access track that is excavated road (m)</t>
  </si>
  <si>
    <t>Length of access track that is rock filled road (m)</t>
  </si>
  <si>
    <t xml:space="preserve">         Variables that can be taken from defaults are marked with purple tags on left hand side.</t>
  </si>
  <si>
    <r>
      <t>Carbon dioxide saving (tCO</t>
    </r>
    <r>
      <rPr>
        <vertAlign val="subscript"/>
        <sz val="10"/>
        <rFont val="Arial"/>
        <family val="2"/>
      </rPr>
      <t>2</t>
    </r>
    <r>
      <rPr>
        <sz val="10"/>
        <rFont val="Arial"/>
        <family val="0"/>
      </rPr>
      <t xml:space="preserve"> yr</t>
    </r>
    <r>
      <rPr>
        <vertAlign val="superscript"/>
        <sz val="10"/>
        <rFont val="Arial"/>
        <family val="0"/>
      </rPr>
      <t>-1</t>
    </r>
    <r>
      <rPr>
        <sz val="10"/>
        <rFont val="Arial"/>
        <family val="0"/>
      </rPr>
      <t>)</t>
    </r>
  </si>
  <si>
    <t>Total losses of carbon dioxide</t>
  </si>
  <si>
    <t>Total gains</t>
  </si>
  <si>
    <t>Power Generation Characteristics</t>
  </si>
  <si>
    <r>
      <t>Carbon Dioxide Saving (tCO</t>
    </r>
    <r>
      <rPr>
        <b/>
        <vertAlign val="subscript"/>
        <sz val="10"/>
        <rFont val="Arial"/>
        <family val="2"/>
      </rPr>
      <t>2</t>
    </r>
    <r>
      <rPr>
        <b/>
        <sz val="10"/>
        <rFont val="Arial"/>
        <family val="0"/>
      </rPr>
      <t xml:space="preserve"> yr</t>
    </r>
    <r>
      <rPr>
        <b/>
        <vertAlign val="superscript"/>
        <sz val="10"/>
        <rFont val="Arial"/>
        <family val="0"/>
      </rPr>
      <t>-1</t>
    </r>
    <r>
      <rPr>
        <b/>
        <sz val="10"/>
        <rFont val="Arial"/>
        <family val="0"/>
      </rPr>
      <t>)</t>
    </r>
  </si>
  <si>
    <t>emissions due to turbine life with carbon-savings achieved by the windfwrm while displacing electricity generated from coal-fired capacity or grid-mix.</t>
  </si>
  <si>
    <r>
      <t>Carbon Dioxide Saving (tCO</t>
    </r>
    <r>
      <rPr>
        <vertAlign val="subscript"/>
        <sz val="10"/>
        <rFont val="Arial"/>
        <family val="2"/>
      </rPr>
      <t>2</t>
    </r>
    <r>
      <rPr>
        <sz val="10"/>
        <rFont val="Arial"/>
        <family val="2"/>
      </rPr>
      <t xml:space="preserve"> yr</t>
    </r>
    <r>
      <rPr>
        <vertAlign val="superscript"/>
        <sz val="10"/>
        <rFont val="Arial"/>
        <family val="2"/>
      </rPr>
      <t>-1</t>
    </r>
    <r>
      <rPr>
        <sz val="10"/>
        <rFont val="Arial"/>
        <family val="2"/>
      </rPr>
      <t>)</t>
    </r>
  </si>
  <si>
    <t xml:space="preserve">Total payback time of windfarm (yr) </t>
  </si>
  <si>
    <r>
      <t>Windfarm CO</t>
    </r>
    <r>
      <rPr>
        <b/>
        <vertAlign val="subscript"/>
        <sz val="10"/>
        <rFont val="Arial"/>
        <family val="2"/>
      </rPr>
      <t xml:space="preserve">2 </t>
    </r>
    <r>
      <rPr>
        <b/>
        <sz val="10"/>
        <rFont val="Arial"/>
        <family val="0"/>
      </rPr>
      <t>emission saving over…</t>
    </r>
  </si>
  <si>
    <t>Coal-fired electricity generation</t>
  </si>
  <si>
    <t>Grid-mix of electricity generation</t>
  </si>
  <si>
    <t>Additional payback time (yr)</t>
  </si>
  <si>
    <t>`</t>
  </si>
  <si>
    <t>Extra capacity required for backup (%)</t>
  </si>
  <si>
    <t>Reserve capacity required for backup</t>
  </si>
  <si>
    <r>
      <t>Reserve capacity (MWh yr</t>
    </r>
    <r>
      <rPr>
        <vertAlign val="superscript"/>
        <sz val="10"/>
        <rFont val="Arial"/>
        <family val="2"/>
      </rPr>
      <t>-1</t>
    </r>
    <r>
      <rPr>
        <sz val="10"/>
        <rFont val="Arial"/>
        <family val="0"/>
      </rPr>
      <t>)</t>
    </r>
  </si>
  <si>
    <t>Carbon dioxide emissions due to backup power generation</t>
  </si>
  <si>
    <t>…coal-fired electricity generation</t>
  </si>
  <si>
    <t>…grid-mix of electricity generation</t>
  </si>
  <si>
    <t>Annual emissions due to backup from…</t>
  </si>
  <si>
    <t>Total emissions due to backup from…</t>
  </si>
  <si>
    <t xml:space="preserve">Note: The carbon payback time of the wind farm due to turbine life (eg. manufacture, construction, decomissioning) is calculated by comparing the </t>
  </si>
  <si>
    <t>Note: CO2 loss due to back up is calculated from the extra capacity required for backup of the wind farm given in the input data.</t>
  </si>
  <si>
    <r>
      <t>Additional CO</t>
    </r>
    <r>
      <rPr>
        <b/>
        <vertAlign val="subscript"/>
        <sz val="10"/>
        <rFont val="Arial"/>
        <family val="2"/>
      </rPr>
      <t>2</t>
    </r>
    <r>
      <rPr>
        <b/>
        <sz val="10"/>
        <rFont val="Arial"/>
        <family val="2"/>
      </rPr>
      <t xml:space="preserve"> payback time of windfarm due to loss of CO</t>
    </r>
    <r>
      <rPr>
        <b/>
        <vertAlign val="subscript"/>
        <sz val="10"/>
        <rFont val="Arial"/>
        <family val="2"/>
      </rPr>
      <t xml:space="preserve">2 </t>
    </r>
    <r>
      <rPr>
        <b/>
        <sz val="10"/>
        <rFont val="Arial"/>
        <family val="2"/>
      </rPr>
      <t>fixation</t>
    </r>
  </si>
  <si>
    <t>Peat removed from borrow pits</t>
  </si>
  <si>
    <t>Average length of pits (m)</t>
  </si>
  <si>
    <t>Average width of pits (m)</t>
  </si>
  <si>
    <t>Average depth of peat removed from pit (m)</t>
  </si>
  <si>
    <r>
      <t>Volume of peat removed from borrow pits (m</t>
    </r>
    <r>
      <rPr>
        <vertAlign val="superscript"/>
        <sz val="10"/>
        <rFont val="Arial"/>
        <family val="2"/>
      </rPr>
      <t>3</t>
    </r>
    <r>
      <rPr>
        <sz val="10"/>
        <rFont val="Arial"/>
        <family val="0"/>
      </rPr>
      <t>)</t>
    </r>
  </si>
  <si>
    <t>Peat removed from turbine foundations</t>
  </si>
  <si>
    <t>Average length of turbine foundations (m)</t>
  </si>
  <si>
    <t>Average width of turbine foundations(m)</t>
  </si>
  <si>
    <t>Average depth of peat removed from turbine foundations(m)</t>
  </si>
  <si>
    <t>Average depth of peat removed from hard-standing (m)</t>
  </si>
  <si>
    <t>Average width of hard-standing (m)</t>
  </si>
  <si>
    <t>Average length of hard-standing (m)</t>
  </si>
  <si>
    <t>Hard-standing area associated with each turbine</t>
  </si>
  <si>
    <t>Peat removed from hard-standing</t>
  </si>
  <si>
    <t>Peat removed from access tracks</t>
  </si>
  <si>
    <t>Volume of peat removed for floating roads</t>
  </si>
  <si>
    <t>Excavated roads</t>
  </si>
  <si>
    <t>Floating roads</t>
  </si>
  <si>
    <t>Volume of peat removed for excavated roads</t>
  </si>
  <si>
    <t>Rock-filled roads</t>
  </si>
  <si>
    <t>Volume of peat removed for rock-filled roads</t>
  </si>
  <si>
    <r>
      <t>Area of land lost in borrow pits (m</t>
    </r>
    <r>
      <rPr>
        <vertAlign val="superscript"/>
        <sz val="10"/>
        <rFont val="Arial"/>
        <family val="2"/>
      </rPr>
      <t>2</t>
    </r>
    <r>
      <rPr>
        <sz val="10"/>
        <rFont val="Arial"/>
        <family val="0"/>
      </rPr>
      <t>)</t>
    </r>
  </si>
  <si>
    <r>
      <t>Area of land lost in floating roads (m</t>
    </r>
    <r>
      <rPr>
        <vertAlign val="superscript"/>
        <sz val="10"/>
        <rFont val="Arial"/>
        <family val="2"/>
      </rPr>
      <t>2</t>
    </r>
    <r>
      <rPr>
        <sz val="10"/>
        <rFont val="Arial"/>
        <family val="0"/>
      </rPr>
      <t>)</t>
    </r>
  </si>
  <si>
    <r>
      <t>Area of land lost in foundations (m</t>
    </r>
    <r>
      <rPr>
        <vertAlign val="superscript"/>
        <sz val="10"/>
        <rFont val="Arial"/>
        <family val="2"/>
      </rPr>
      <t>2</t>
    </r>
    <r>
      <rPr>
        <sz val="10"/>
        <rFont val="Arial"/>
        <family val="0"/>
      </rPr>
      <t>)</t>
    </r>
  </si>
  <si>
    <r>
      <t>Area of land lost in hard-standing (m</t>
    </r>
    <r>
      <rPr>
        <vertAlign val="superscript"/>
        <sz val="10"/>
        <rFont val="Arial"/>
        <family val="2"/>
      </rPr>
      <t>2</t>
    </r>
    <r>
      <rPr>
        <sz val="10"/>
        <rFont val="Arial"/>
        <family val="0"/>
      </rPr>
      <t>)</t>
    </r>
  </si>
  <si>
    <r>
      <t>Area of land lost in excavated roads (m</t>
    </r>
    <r>
      <rPr>
        <vertAlign val="superscript"/>
        <sz val="10"/>
        <rFont val="Arial"/>
        <family val="2"/>
      </rPr>
      <t>2</t>
    </r>
    <r>
      <rPr>
        <sz val="10"/>
        <rFont val="Arial"/>
        <family val="0"/>
      </rPr>
      <t>)</t>
    </r>
  </si>
  <si>
    <r>
      <t>Total area of land lost in access tracks (m</t>
    </r>
    <r>
      <rPr>
        <vertAlign val="superscript"/>
        <sz val="10"/>
        <rFont val="Arial"/>
        <family val="2"/>
      </rPr>
      <t>2</t>
    </r>
    <r>
      <rPr>
        <sz val="10"/>
        <rFont val="Arial"/>
        <family val="0"/>
      </rPr>
      <t>)</t>
    </r>
  </si>
  <si>
    <r>
      <t>Total volume of peat removed due to access tracks (m</t>
    </r>
    <r>
      <rPr>
        <vertAlign val="superscript"/>
        <sz val="10"/>
        <rFont val="Arial"/>
        <family val="2"/>
      </rPr>
      <t>3</t>
    </r>
    <r>
      <rPr>
        <sz val="10"/>
        <rFont val="Arial"/>
        <family val="0"/>
      </rPr>
      <t>)</t>
    </r>
  </si>
  <si>
    <r>
      <t>Total area of land lost due to wind farm construction (m</t>
    </r>
    <r>
      <rPr>
        <b/>
        <vertAlign val="superscript"/>
        <sz val="10"/>
        <rFont val="Arial"/>
        <family val="2"/>
      </rPr>
      <t>2</t>
    </r>
    <r>
      <rPr>
        <b/>
        <sz val="10"/>
        <rFont val="Arial"/>
        <family val="2"/>
      </rPr>
      <t>)</t>
    </r>
  </si>
  <si>
    <t>Extent of drainage around each metre of drainage ditch</t>
  </si>
  <si>
    <t>Excavated Road</t>
  </si>
  <si>
    <t>Length of floating road that is drained (m)</t>
  </si>
  <si>
    <t>Rock-filled road width (m)</t>
  </si>
  <si>
    <t>Rock-filled road depth (m)</t>
  </si>
  <si>
    <t>Length of rock-filled road that is drained (m)</t>
  </si>
  <si>
    <r>
      <t>Total area of land lost due to wind farm construction (m</t>
    </r>
    <r>
      <rPr>
        <vertAlign val="superscript"/>
        <sz val="10"/>
        <rFont val="Arial"/>
        <family val="2"/>
      </rPr>
      <t>2</t>
    </r>
    <r>
      <rPr>
        <sz val="10"/>
        <rFont val="Arial"/>
        <family val="2"/>
      </rPr>
      <t>)</t>
    </r>
  </si>
  <si>
    <r>
      <t>Total area affected by drainage due to wind farm construction (m</t>
    </r>
    <r>
      <rPr>
        <vertAlign val="superscript"/>
        <sz val="10"/>
        <rFont val="Arial"/>
        <family val="2"/>
      </rPr>
      <t>-2</t>
    </r>
    <r>
      <rPr>
        <sz val="10"/>
        <rFont val="Arial"/>
        <family val="2"/>
      </rPr>
      <t>)</t>
    </r>
  </si>
  <si>
    <r>
      <t>Carbon sequestered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</si>
  <si>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Area of forestry plantation to be felled (ha)</t>
  </si>
  <si>
    <r>
      <t>Total carbon loss due to felling of forestry (t CO</t>
    </r>
    <r>
      <rPr>
        <b/>
        <vertAlign val="subscript"/>
        <sz val="10"/>
        <rFont val="Arial"/>
        <family val="2"/>
      </rPr>
      <t>2</t>
    </r>
    <r>
      <rPr>
        <b/>
        <sz val="10"/>
        <rFont val="Arial"/>
        <family val="2"/>
      </rPr>
      <t>)</t>
    </r>
  </si>
  <si>
    <t>Emissions due to forestry felling</t>
  </si>
  <si>
    <r>
      <t>Total volume of peat removed (m</t>
    </r>
    <r>
      <rPr>
        <vertAlign val="superscript"/>
        <sz val="10"/>
        <rFont val="Arial"/>
        <family val="2"/>
      </rPr>
      <t>3</t>
    </r>
    <r>
      <rPr>
        <sz val="10"/>
        <rFont val="Arial"/>
        <family val="2"/>
      </rPr>
      <t>) due to wind farm construction</t>
    </r>
  </si>
  <si>
    <t>Turbine capacity (MW)</t>
  </si>
  <si>
    <r>
      <t>Fossil fuel- mix emission factor (t CO2 MWh</t>
    </r>
    <r>
      <rPr>
        <vertAlign val="superscript"/>
        <sz val="10"/>
        <rFont val="Arial"/>
        <family val="2"/>
      </rPr>
      <t>-1</t>
    </r>
    <r>
      <rPr>
        <sz val="10"/>
        <rFont val="Arial"/>
        <family val="0"/>
      </rPr>
      <t>)</t>
    </r>
  </si>
  <si>
    <t>…fossil fuel - mix of electricity generation</t>
  </si>
  <si>
    <t>Fossil fuel - mix of electricity generation</t>
  </si>
  <si>
    <r>
      <t>Fossil fuel- mix emission factor (t CO</t>
    </r>
    <r>
      <rPr>
        <vertAlign val="subscript"/>
        <sz val="10"/>
        <rFont val="Arial"/>
        <family val="2"/>
      </rPr>
      <t>2</t>
    </r>
    <r>
      <rPr>
        <sz val="10"/>
        <rFont val="Arial"/>
        <family val="0"/>
      </rPr>
      <t xml:space="preserve"> MWh</t>
    </r>
    <r>
      <rPr>
        <vertAlign val="superscript"/>
        <sz val="10"/>
        <rFont val="Arial"/>
        <family val="2"/>
      </rPr>
      <t>-1</t>
    </r>
    <r>
      <rPr>
        <sz val="10"/>
        <rFont val="Arial"/>
        <family val="0"/>
      </rPr>
      <t>)</t>
    </r>
  </si>
  <si>
    <t>Fossil fuel-mix</t>
  </si>
  <si>
    <r>
      <t>CO</t>
    </r>
    <r>
      <rPr>
        <b/>
        <vertAlign val="subscript"/>
        <sz val="10"/>
        <rFont val="Arial"/>
        <family val="2"/>
      </rPr>
      <t>2</t>
    </r>
    <r>
      <rPr>
        <b/>
        <sz val="10"/>
        <rFont val="Arial"/>
        <family val="2"/>
      </rPr>
      <t xml:space="preserve"> loss due to wind farm construction</t>
    </r>
  </si>
  <si>
    <t>Peat Landslide Hazard</t>
  </si>
  <si>
    <r>
      <t>Flooded period (days year</t>
    </r>
    <r>
      <rPr>
        <vertAlign val="superscript"/>
        <sz val="10"/>
        <rFont val="Arial"/>
        <family val="2"/>
      </rPr>
      <t>-1</t>
    </r>
    <r>
      <rPr>
        <sz val="10"/>
        <rFont val="Arial"/>
        <family val="0"/>
      </rPr>
      <t>)</t>
    </r>
  </si>
  <si>
    <r>
      <t>Conversion factor: CH</t>
    </r>
    <r>
      <rPr>
        <vertAlign val="subscript"/>
        <sz val="10"/>
        <rFont val="Arial"/>
        <family val="2"/>
      </rPr>
      <t>4</t>
    </r>
    <r>
      <rPr>
        <sz val="10"/>
        <rFont val="Arial"/>
        <family val="0"/>
      </rPr>
      <t>-C to CO</t>
    </r>
    <r>
      <rPr>
        <vertAlign val="subscript"/>
        <sz val="10"/>
        <rFont val="Arial"/>
        <family val="2"/>
      </rPr>
      <t>2</t>
    </r>
    <r>
      <rPr>
        <sz val="10"/>
        <rFont val="Arial"/>
        <family val="0"/>
      </rPr>
      <t xml:space="preserve"> equivalents</t>
    </r>
  </si>
  <si>
    <t>Calculations following IPCC default methodology</t>
  </si>
  <si>
    <r>
      <t>Annual rate of methane emission (t CH</t>
    </r>
    <r>
      <rPr>
        <vertAlign val="subscript"/>
        <sz val="10"/>
        <rFont val="Arial"/>
        <family val="2"/>
      </rPr>
      <t>4</t>
    </r>
    <r>
      <rPr>
        <sz val="10"/>
        <rFont val="Arial"/>
        <family val="0"/>
      </rPr>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</si>
  <si>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Annual rate of carbon dioxide emission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</si>
  <si>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Drained Land</t>
  </si>
  <si>
    <t>Total area affected by drainage due to wind farm construction (ha)</t>
  </si>
  <si>
    <r>
      <t>Flooded period (days year</t>
    </r>
    <r>
      <rPr>
        <vertAlign val="superscript"/>
        <sz val="10"/>
        <rFont val="Arial"/>
        <family val="2"/>
      </rPr>
      <t>-1</t>
    </r>
    <r>
      <rPr>
        <sz val="10"/>
        <rFont val="Arial"/>
        <family val="2"/>
      </rPr>
      <t>)</t>
    </r>
  </si>
  <si>
    <t xml:space="preserve">2. Losses due to turbine life (eg. manufacture, construction, decomissioning) </t>
  </si>
  <si>
    <t xml:space="preserve">3. Losses due to backup </t>
  </si>
  <si>
    <t>4. Losses due to reduced carbon fixing potential</t>
  </si>
  <si>
    <t>5. Losses from soil organic matter</t>
  </si>
  <si>
    <r>
      <t>Total GHG emissions from Drained Land (t CO</t>
    </r>
    <r>
      <rPr>
        <b/>
        <vertAlign val="subscript"/>
        <sz val="10"/>
        <rFont val="Arial"/>
        <family val="2"/>
      </rPr>
      <t>2</t>
    </r>
    <r>
      <rPr>
        <b/>
        <sz val="10"/>
        <rFont val="Arial"/>
        <family val="2"/>
      </rPr>
      <t xml:space="preserve"> equiv.)</t>
    </r>
  </si>
  <si>
    <t>…fossil fuel-mix of electricity generation</t>
  </si>
  <si>
    <t>Payback time (months)</t>
  </si>
  <si>
    <t xml:space="preserve">Total payback time of windfarm (months) </t>
  </si>
  <si>
    <t>Note: % site lost by peat removal is estimated from peat removed in borrow pits, turbine foundations, hard-standing and access tracks.</t>
  </si>
  <si>
    <t>If peat is removed for any other reason, this must be added in to the volume of peat removed, area of land lost and % site lost at the bottom of this worksheet.</t>
  </si>
  <si>
    <r>
      <t>Note: Loss of C stored in peatland is estimated from % site lost by peat removal (sheet 5a), CO</t>
    </r>
    <r>
      <rPr>
        <vertAlign val="subscript"/>
        <sz val="8"/>
        <rFont val="Arial"/>
        <family val="2"/>
      </rPr>
      <t>2</t>
    </r>
    <r>
      <rPr>
        <sz val="8"/>
        <rFont val="Arial"/>
        <family val="0"/>
      </rPr>
      <t xml:space="preserve"> loss from removed peat (sheet 5b), % site affected by drainage (sheet 5c), and the CO2 loss from drained peat (sheet 5d).</t>
    </r>
  </si>
  <si>
    <r>
      <t>% C contained in removed peat that is lost as CO</t>
    </r>
    <r>
      <rPr>
        <vertAlign val="subscript"/>
        <sz val="10"/>
        <rFont val="Arial"/>
        <family val="2"/>
      </rPr>
      <t>2</t>
    </r>
  </si>
  <si>
    <r>
      <t>Note: Note, CO</t>
    </r>
    <r>
      <rPr>
        <vertAlign val="subscript"/>
        <sz val="8"/>
        <rFont val="Arial"/>
        <family val="2"/>
      </rPr>
      <t>2</t>
    </r>
    <r>
      <rPr>
        <sz val="8"/>
        <rFont val="Arial"/>
        <family val="2"/>
      </rPr>
      <t xml:space="preserve"> losses are calculated using two approaches: IPCC default methodology and more site specific equations derived for this project. The IPCC methodology is included because it is the established approach, although it contains no site detail. The new equations have been thoroughly tested against experimental data (see Nayak et al, 2008 - Final report).</t>
    </r>
  </si>
  <si>
    <t>Note: Emissions due to forestry felling are calculated from the reduced carbon sequestered per crop rotation. If the forestry was due to be removed before the planned development, this C loss is not attributable to the wind farm and so the area of forectry to be felled should be entered as zero.</t>
  </si>
  <si>
    <t>Total C loss</t>
  </si>
  <si>
    <r>
      <t>CO</t>
    </r>
    <r>
      <rPr>
        <vertAlign val="subscript"/>
        <sz val="10"/>
        <rFont val="Arial"/>
        <family val="2"/>
      </rPr>
      <t>2</t>
    </r>
    <r>
      <rPr>
        <sz val="10"/>
        <rFont val="Arial"/>
        <family val="2"/>
      </rPr>
      <t xml:space="preserve"> loss from removed peat (t CO</t>
    </r>
    <r>
      <rPr>
        <vertAlign val="subscript"/>
        <sz val="10"/>
        <rFont val="Arial"/>
        <family val="2"/>
      </rPr>
      <t>2</t>
    </r>
    <r>
      <rPr>
        <sz val="10"/>
        <rFont val="Arial"/>
        <family val="2"/>
      </rPr>
      <t>)</t>
    </r>
  </si>
  <si>
    <r>
      <t>CO</t>
    </r>
    <r>
      <rPr>
        <vertAlign val="subscript"/>
        <sz val="10"/>
        <rFont val="Arial"/>
        <family val="2"/>
      </rPr>
      <t>2</t>
    </r>
    <r>
      <rPr>
        <sz val="10"/>
        <rFont val="Arial"/>
        <family val="2"/>
      </rPr>
      <t xml:space="preserve"> loss from removed peat (t CO</t>
    </r>
    <r>
      <rPr>
        <vertAlign val="subscript"/>
        <sz val="10"/>
        <rFont val="Arial"/>
        <family val="2"/>
      </rPr>
      <t xml:space="preserve">2 </t>
    </r>
    <r>
      <rPr>
        <sz val="10"/>
        <rFont val="Arial"/>
        <family val="2"/>
      </rPr>
      <t>equiv)</t>
    </r>
  </si>
  <si>
    <r>
      <t>CO</t>
    </r>
    <r>
      <rPr>
        <vertAlign val="subscript"/>
        <sz val="10"/>
        <rFont val="Arial"/>
        <family val="2"/>
      </rPr>
      <t>2</t>
    </r>
    <r>
      <rPr>
        <sz val="10"/>
        <rFont val="Arial"/>
        <family val="2"/>
      </rPr>
      <t xml:space="preserve"> loss from drained peat (t CO</t>
    </r>
    <r>
      <rPr>
        <vertAlign val="subscript"/>
        <sz val="10"/>
        <rFont val="Arial"/>
        <family val="2"/>
      </rPr>
      <t xml:space="preserve">2 </t>
    </r>
    <r>
      <rPr>
        <sz val="10"/>
        <rFont val="Arial"/>
        <family val="2"/>
      </rPr>
      <t>equiv)</t>
    </r>
  </si>
  <si>
    <r>
      <t>Total CO</t>
    </r>
    <r>
      <rPr>
        <b/>
        <vertAlign val="subscript"/>
        <sz val="10"/>
        <rFont val="Arial"/>
        <family val="2"/>
      </rPr>
      <t>2</t>
    </r>
    <r>
      <rPr>
        <b/>
        <sz val="10"/>
        <rFont val="Arial"/>
        <family val="2"/>
      </rPr>
      <t xml:space="preserve"> loss from  peat (removed+ drained) (t CO</t>
    </r>
    <r>
      <rPr>
        <b/>
        <vertAlign val="subscript"/>
        <sz val="10"/>
        <rFont val="Arial"/>
        <family val="2"/>
      </rPr>
      <t xml:space="preserve">2 </t>
    </r>
    <r>
      <rPr>
        <b/>
        <sz val="10"/>
        <rFont val="Arial"/>
        <family val="2"/>
      </rPr>
      <t>equiv)</t>
    </r>
  </si>
  <si>
    <r>
      <t>CO</t>
    </r>
    <r>
      <rPr>
        <vertAlign val="subscript"/>
        <sz val="10"/>
        <rFont val="Arial"/>
        <family val="2"/>
      </rPr>
      <t>2</t>
    </r>
    <r>
      <rPr>
        <sz val="10"/>
        <rFont val="Arial"/>
        <family val="0"/>
      </rPr>
      <t xml:space="preserve"> emissions from drained land (t CO</t>
    </r>
    <r>
      <rPr>
        <vertAlign val="subscript"/>
        <sz val="10"/>
        <rFont val="Arial"/>
        <family val="2"/>
      </rPr>
      <t>2</t>
    </r>
    <r>
      <rPr>
        <sz val="10"/>
        <rFont val="Arial"/>
        <family val="0"/>
      </rPr>
      <t>)</t>
    </r>
  </si>
  <si>
    <t>Total gaseous loss of C (t C)</t>
  </si>
  <si>
    <r>
      <t>CH</t>
    </r>
    <r>
      <rPr>
        <vertAlign val="subscript"/>
        <sz val="10"/>
        <rFont val="Arial"/>
        <family val="2"/>
      </rPr>
      <t>4</t>
    </r>
    <r>
      <rPr>
        <sz val="10"/>
        <rFont val="Arial"/>
        <family val="0"/>
      </rPr>
      <t xml:space="preserve"> emissions from drained land (t CO</t>
    </r>
    <r>
      <rPr>
        <vertAlign val="subscript"/>
        <sz val="10"/>
        <rFont val="Arial"/>
        <family val="2"/>
      </rPr>
      <t>2</t>
    </r>
    <r>
      <rPr>
        <sz val="10"/>
        <rFont val="Arial"/>
        <family val="0"/>
      </rPr>
      <t xml:space="preserve"> equiv.</t>
    </r>
    <r>
      <rPr>
        <sz val="10"/>
        <rFont val="Arial"/>
        <family val="0"/>
      </rPr>
      <t>)</t>
    </r>
  </si>
  <si>
    <t>% total soil C losses, lost as DOC</t>
  </si>
  <si>
    <t>Total C loss as DOC (t C)</t>
  </si>
  <si>
    <r>
      <t>% DOC loss emitted as CO</t>
    </r>
    <r>
      <rPr>
        <vertAlign val="subscript"/>
        <sz val="10"/>
        <rFont val="Arial"/>
        <family val="2"/>
      </rPr>
      <t>2</t>
    </r>
    <r>
      <rPr>
        <sz val="10"/>
        <rFont val="Arial"/>
        <family val="0"/>
      </rPr>
      <t xml:space="preserve"> over the long term</t>
    </r>
  </si>
  <si>
    <r>
      <t>Total CO</t>
    </r>
    <r>
      <rPr>
        <b/>
        <vertAlign val="subscript"/>
        <sz val="10"/>
        <rFont val="Arial"/>
        <family val="2"/>
      </rPr>
      <t>2</t>
    </r>
    <r>
      <rPr>
        <b/>
        <sz val="10"/>
        <rFont val="Arial"/>
        <family val="2"/>
      </rPr>
      <t xml:space="preserve"> loss due to DOC leaching (t CO</t>
    </r>
    <r>
      <rPr>
        <b/>
        <vertAlign val="subscript"/>
        <sz val="10"/>
        <rFont val="Arial"/>
        <family val="2"/>
      </rPr>
      <t>2</t>
    </r>
    <r>
      <rPr>
        <b/>
        <sz val="10"/>
        <rFont val="Arial"/>
        <family val="2"/>
      </rPr>
      <t>)</t>
    </r>
  </si>
  <si>
    <t>Average depth of drains associated with floating roads (m)</t>
  </si>
  <si>
    <t>Average depth of drains associated with rock-filled roads (m)</t>
  </si>
  <si>
    <t>Average water table depth at site (m)</t>
  </si>
  <si>
    <t>Average soil pH</t>
  </si>
  <si>
    <r>
      <t>3. CO</t>
    </r>
    <r>
      <rPr>
        <b/>
        <vertAlign val="subscript"/>
        <sz val="10"/>
        <rFont val="Arial"/>
        <family val="2"/>
      </rPr>
      <t>2</t>
    </r>
    <r>
      <rPr>
        <b/>
        <sz val="10"/>
        <rFont val="Arial"/>
        <family val="2"/>
      </rPr>
      <t xml:space="preserve"> Losses due to Drainage</t>
    </r>
  </si>
  <si>
    <r>
      <t>Total GHG emissions from Drained Land (t CO</t>
    </r>
    <r>
      <rPr>
        <vertAlign val="subscript"/>
        <sz val="10"/>
        <rFont val="Arial"/>
        <family val="2"/>
      </rPr>
      <t>2</t>
    </r>
    <r>
      <rPr>
        <sz val="10"/>
        <rFont val="Arial"/>
        <family val="2"/>
      </rPr>
      <t xml:space="preserve"> equiv.)</t>
    </r>
  </si>
  <si>
    <r>
      <t>Total CO</t>
    </r>
    <r>
      <rPr>
        <b/>
        <vertAlign val="subscript"/>
        <sz val="10"/>
        <rFont val="Arial"/>
        <family val="2"/>
      </rPr>
      <t>2</t>
    </r>
    <r>
      <rPr>
        <b/>
        <sz val="10"/>
        <rFont val="Arial"/>
        <family val="2"/>
      </rPr>
      <t xml:space="preserve"> losses due to Drainage (t CO</t>
    </r>
    <r>
      <rPr>
        <b/>
        <vertAlign val="subscript"/>
        <sz val="10"/>
        <rFont val="Arial"/>
        <family val="2"/>
      </rPr>
      <t>2</t>
    </r>
    <r>
      <rPr>
        <b/>
        <sz val="10"/>
        <rFont val="Arial"/>
        <family val="2"/>
      </rPr>
      <t xml:space="preserve"> equiv.)</t>
    </r>
  </si>
  <si>
    <t>Calculations following ECOSSE based methodology</t>
  </si>
  <si>
    <t>Reduction in payback time (months)</t>
  </si>
  <si>
    <t>5e. Emission rates</t>
  </si>
  <si>
    <t xml:space="preserve">There are 15 worksheets :   </t>
  </si>
  <si>
    <t xml:space="preserve">Notes on calculations are given in pale green text boxes. </t>
  </si>
  <si>
    <t>Assumptions are shown in pale blue text boxes.</t>
  </si>
  <si>
    <t>Total length of foundation and hardstaning area (m)</t>
  </si>
  <si>
    <t>Total width of foundation and hardstanding area (m)</t>
  </si>
  <si>
    <t>Area affected by drainage per borrow pit</t>
  </si>
  <si>
    <r>
      <t>Total area affected by drainage around borrowpits (m</t>
    </r>
    <r>
      <rPr>
        <vertAlign val="superscript"/>
        <sz val="10"/>
        <rFont val="Arial"/>
        <family val="2"/>
      </rPr>
      <t>2</t>
    </r>
    <r>
      <rPr>
        <sz val="10"/>
        <rFont val="Arial"/>
        <family val="2"/>
      </rPr>
      <t>)</t>
    </r>
  </si>
  <si>
    <r>
      <t>Total volume affected by drainage around borrowpits (m</t>
    </r>
    <r>
      <rPr>
        <vertAlign val="superscript"/>
        <sz val="10"/>
        <rFont val="Arial"/>
        <family val="2"/>
      </rPr>
      <t>3</t>
    </r>
    <r>
      <rPr>
        <sz val="10"/>
        <rFont val="Arial"/>
        <family val="2"/>
      </rPr>
      <t>)</t>
    </r>
  </si>
  <si>
    <t>Peat affected by drainage around turbine foundation and hardstanding</t>
  </si>
  <si>
    <t>Peat affected by drainage around borrow pits</t>
  </si>
  <si>
    <t>Peat affected by drainage of access tracks</t>
  </si>
  <si>
    <r>
      <t>Total area affected by drainage of access track (m</t>
    </r>
    <r>
      <rPr>
        <vertAlign val="superscript"/>
        <sz val="10"/>
        <rFont val="Arial"/>
        <family val="2"/>
      </rPr>
      <t>2</t>
    </r>
    <r>
      <rPr>
        <sz val="10"/>
        <rFont val="Arial"/>
        <family val="2"/>
      </rPr>
      <t>)</t>
    </r>
  </si>
  <si>
    <r>
      <t>Area affected by drainage of foundation and hardstanding area (m</t>
    </r>
    <r>
      <rPr>
        <vertAlign val="superscript"/>
        <sz val="10"/>
        <rFont val="Arial"/>
        <family val="2"/>
      </rPr>
      <t>2</t>
    </r>
    <r>
      <rPr>
        <sz val="10"/>
        <rFont val="Arial"/>
        <family val="0"/>
      </rPr>
      <t>)</t>
    </r>
  </si>
  <si>
    <r>
      <t>Total area affected by drainage of foundation and hardstanding area (m</t>
    </r>
    <r>
      <rPr>
        <vertAlign val="superscript"/>
        <sz val="10"/>
        <rFont val="Arial"/>
        <family val="2"/>
      </rPr>
      <t>2</t>
    </r>
    <r>
      <rPr>
        <sz val="10"/>
        <rFont val="Arial"/>
        <family val="0"/>
      </rPr>
      <t>)</t>
    </r>
  </si>
  <si>
    <r>
      <t>Total volume affected by drainage of foundation and hardstanding area (m</t>
    </r>
    <r>
      <rPr>
        <vertAlign val="superscript"/>
        <sz val="10"/>
        <rFont val="Arial"/>
        <family val="2"/>
      </rPr>
      <t>3</t>
    </r>
    <r>
      <rPr>
        <sz val="10"/>
        <rFont val="Arial"/>
        <family val="0"/>
      </rPr>
      <t>)</t>
    </r>
  </si>
  <si>
    <r>
      <t>Area affected by drainage of floating roads (m</t>
    </r>
    <r>
      <rPr>
        <vertAlign val="superscript"/>
        <sz val="10"/>
        <rFont val="Arial"/>
        <family val="2"/>
      </rPr>
      <t>2</t>
    </r>
    <r>
      <rPr>
        <sz val="10"/>
        <rFont val="Arial"/>
        <family val="0"/>
      </rPr>
      <t>)</t>
    </r>
  </si>
  <si>
    <r>
      <t>Volume affected by drainage of floating roads (m</t>
    </r>
    <r>
      <rPr>
        <vertAlign val="superscript"/>
        <sz val="10"/>
        <rFont val="Arial"/>
        <family val="2"/>
      </rPr>
      <t>3</t>
    </r>
    <r>
      <rPr>
        <sz val="10"/>
        <rFont val="Arial"/>
        <family val="0"/>
      </rPr>
      <t>)</t>
    </r>
  </si>
  <si>
    <r>
      <t>Area affected by drainage of excavated roads (m</t>
    </r>
    <r>
      <rPr>
        <vertAlign val="superscript"/>
        <sz val="10"/>
        <rFont val="Arial"/>
        <family val="2"/>
      </rPr>
      <t>2</t>
    </r>
    <r>
      <rPr>
        <sz val="10"/>
        <rFont val="Arial"/>
        <family val="0"/>
      </rPr>
      <t>)</t>
    </r>
  </si>
  <si>
    <r>
      <t>Volume affected by drainage of excavated roads (m</t>
    </r>
    <r>
      <rPr>
        <vertAlign val="superscript"/>
        <sz val="10"/>
        <rFont val="Arial"/>
        <family val="2"/>
      </rPr>
      <t>3</t>
    </r>
    <r>
      <rPr>
        <sz val="10"/>
        <rFont val="Arial"/>
        <family val="0"/>
      </rPr>
      <t>)</t>
    </r>
  </si>
  <si>
    <r>
      <t>Area affected by drainage of rock-filled roads (m</t>
    </r>
    <r>
      <rPr>
        <vertAlign val="superscript"/>
        <sz val="10"/>
        <rFont val="Arial"/>
        <family val="2"/>
      </rPr>
      <t>2</t>
    </r>
    <r>
      <rPr>
        <sz val="10"/>
        <rFont val="Arial"/>
        <family val="0"/>
      </rPr>
      <t>)</t>
    </r>
  </si>
  <si>
    <r>
      <t>Volume affected by drainage of rock-filled roads (m</t>
    </r>
    <r>
      <rPr>
        <vertAlign val="superscript"/>
        <sz val="10"/>
        <rFont val="Arial"/>
        <family val="2"/>
      </rPr>
      <t>2</t>
    </r>
    <r>
      <rPr>
        <sz val="10"/>
        <rFont val="Arial"/>
        <family val="0"/>
      </rPr>
      <t>)</t>
    </r>
  </si>
  <si>
    <r>
      <t>Total volume affected by drainage of access track (m</t>
    </r>
    <r>
      <rPr>
        <vertAlign val="superscript"/>
        <sz val="10"/>
        <rFont val="Arial"/>
        <family val="2"/>
      </rPr>
      <t>3</t>
    </r>
    <r>
      <rPr>
        <sz val="10"/>
        <rFont val="Arial"/>
        <family val="0"/>
      </rPr>
      <t>)</t>
    </r>
  </si>
  <si>
    <r>
      <t>Total volume affected by drainage due to wind farm construction (m</t>
    </r>
    <r>
      <rPr>
        <vertAlign val="superscript"/>
        <sz val="10"/>
        <rFont val="Arial"/>
        <family val="2"/>
      </rPr>
      <t>3</t>
    </r>
    <r>
      <rPr>
        <sz val="10"/>
        <rFont val="Arial"/>
        <family val="0"/>
      </rPr>
      <t>)</t>
    </r>
  </si>
  <si>
    <r>
      <t>Rate of carbon dioxide emission in drained soil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</si>
  <si>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r>
      <t>Rate of methane emission in drained soil ((t CH</t>
    </r>
    <r>
      <rPr>
        <vertAlign val="subscript"/>
        <sz val="10"/>
        <rFont val="Arial"/>
        <family val="2"/>
      </rPr>
      <t>4</t>
    </r>
    <r>
      <rPr>
        <sz val="10"/>
        <rFont val="Arial"/>
        <family val="0"/>
      </rPr>
      <t>-C) ha</t>
    </r>
    <r>
      <rPr>
        <vertAlign val="superscript"/>
        <sz val="10"/>
        <rFont val="Arial"/>
        <family val="2"/>
      </rPr>
      <t>-1</t>
    </r>
    <r>
      <rPr>
        <sz val="10"/>
        <rFont val="Arial"/>
        <family val="2"/>
      </rPr>
      <t xml:space="preserve"> yr</t>
    </r>
    <r>
      <rPr>
        <vertAlign val="superscript"/>
        <sz val="10"/>
        <rFont val="Arial"/>
        <family val="2"/>
      </rPr>
      <t>-1</t>
    </r>
    <r>
      <rPr>
        <sz val="10"/>
        <rFont val="Arial"/>
        <family val="0"/>
      </rPr>
      <t>)</t>
    </r>
  </si>
  <si>
    <t>Annual Emission Rates following ECOSSE based methodology</t>
  </si>
  <si>
    <t>Choice of methodology for calculating emission factors</t>
  </si>
  <si>
    <t>Selected Methodology =</t>
  </si>
  <si>
    <t>Selected Emission Rates</t>
  </si>
  <si>
    <t>Type of peatland</t>
  </si>
  <si>
    <t>Acid bog</t>
  </si>
  <si>
    <t>Fen</t>
  </si>
  <si>
    <t>Emission characteristics of acid bogs (IPCC, 1997)</t>
  </si>
  <si>
    <t>Emission characteristics of fens (IPCC, 1997)</t>
  </si>
  <si>
    <t>Selected emission characteristics (IPCC, 1997)</t>
  </si>
  <si>
    <t>Additional payback time (months)</t>
  </si>
  <si>
    <t>Fossil fuel-mix of electricity generation</t>
  </si>
  <si>
    <t>Additional payback time (years)</t>
  </si>
  <si>
    <t>Turbine life</t>
  </si>
  <si>
    <t>Backup</t>
  </si>
  <si>
    <t>Forest felling</t>
  </si>
  <si>
    <t>Intermediate stages in the calculations are shown in numbered worksheets 1 to 8</t>
  </si>
  <si>
    <t>Yes</t>
  </si>
  <si>
    <t>No</t>
  </si>
  <si>
    <r>
      <t>Total area affected by drainage due to wind farm (m</t>
    </r>
    <r>
      <rPr>
        <b/>
        <vertAlign val="superscript"/>
        <sz val="10"/>
        <rFont val="Arial"/>
        <family val="2"/>
      </rPr>
      <t>2</t>
    </r>
    <r>
      <rPr>
        <b/>
        <sz val="10"/>
        <rFont val="Arial"/>
        <family val="2"/>
      </rPr>
      <t>)</t>
    </r>
  </si>
  <si>
    <r>
      <t>Total volume affected by drainage due to wind farm (m</t>
    </r>
    <r>
      <rPr>
        <b/>
        <vertAlign val="superscript"/>
        <sz val="10"/>
        <rFont val="Arial"/>
        <family val="2"/>
      </rPr>
      <t>3</t>
    </r>
    <r>
      <rPr>
        <b/>
        <sz val="10"/>
        <rFont val="Arial"/>
        <family val="2"/>
      </rPr>
      <t>)</t>
    </r>
  </si>
  <si>
    <r>
      <t>Total volume affected by drainage due to wind farm (m</t>
    </r>
    <r>
      <rPr>
        <vertAlign val="superscript"/>
        <sz val="10"/>
        <rFont val="Arial"/>
        <family val="2"/>
      </rPr>
      <t>3</t>
    </r>
    <r>
      <rPr>
        <sz val="10"/>
        <rFont val="Arial"/>
        <family val="2"/>
      </rPr>
      <t>)</t>
    </r>
  </si>
  <si>
    <t>2. Losses if Land is Undrained</t>
  </si>
  <si>
    <t>1. Losses if Land is Drained</t>
  </si>
  <si>
    <t>Methane Emissions from Drained Land</t>
  </si>
  <si>
    <t>Carbon Dioxide Emissions from Drained Land</t>
  </si>
  <si>
    <t>Methane Emissions from Undrained Land</t>
  </si>
  <si>
    <t>Carbon Dioxide Emissions from Undrained Land</t>
  </si>
  <si>
    <r>
      <t>Total GHG Emissions from Undrained Land (t CO</t>
    </r>
    <r>
      <rPr>
        <vertAlign val="subscript"/>
        <sz val="10"/>
        <rFont val="Arial"/>
        <family val="2"/>
      </rPr>
      <t>2</t>
    </r>
    <r>
      <rPr>
        <sz val="10"/>
        <rFont val="Arial"/>
        <family val="2"/>
      </rPr>
      <t xml:space="preserve"> equiv.)</t>
    </r>
  </si>
  <si>
    <r>
      <t>Total GHG Emissions from Undrained Land (t CO</t>
    </r>
    <r>
      <rPr>
        <b/>
        <vertAlign val="subscript"/>
        <sz val="10"/>
        <rFont val="Arial"/>
        <family val="2"/>
      </rPr>
      <t>2</t>
    </r>
    <r>
      <rPr>
        <b/>
        <sz val="10"/>
        <rFont val="Arial"/>
        <family val="2"/>
      </rPr>
      <t xml:space="preserve"> equiv.)</t>
    </r>
  </si>
  <si>
    <t>Rated capacity (MW yr-1)</t>
  </si>
  <si>
    <r>
      <t>Average annual air temperature at the site (</t>
    </r>
    <r>
      <rPr>
        <vertAlign val="superscript"/>
        <sz val="10"/>
        <rFont val="Arial"/>
        <family val="2"/>
      </rPr>
      <t>o</t>
    </r>
    <r>
      <rPr>
        <sz val="10"/>
        <rFont val="Arial"/>
        <family val="0"/>
      </rPr>
      <t>C)</t>
    </r>
  </si>
  <si>
    <r>
      <t>Average air temperature at site (</t>
    </r>
    <r>
      <rPr>
        <vertAlign val="superscript"/>
        <sz val="10"/>
        <rFont val="Arial"/>
        <family val="2"/>
      </rPr>
      <t>o</t>
    </r>
    <r>
      <rPr>
        <sz val="10"/>
        <rFont val="Arial"/>
        <family val="2"/>
      </rPr>
      <t>C)</t>
    </r>
  </si>
  <si>
    <t xml:space="preserve">Soil Characteristics that Determine Emission Rates </t>
  </si>
  <si>
    <t>Average water table depth of drained land (m)</t>
  </si>
  <si>
    <r>
      <t>Rate of methane emission in undrained soil ((t CH</t>
    </r>
    <r>
      <rPr>
        <vertAlign val="subscript"/>
        <sz val="10"/>
        <rFont val="Arial"/>
        <family val="2"/>
      </rPr>
      <t>4</t>
    </r>
    <r>
      <rPr>
        <sz val="10"/>
        <rFont val="Arial"/>
        <family val="0"/>
      </rPr>
      <t>-C</t>
    </r>
    <r>
      <rPr>
        <sz val="10"/>
        <rFont val="Arial"/>
        <family val="2"/>
      </rPr>
      <t>)</t>
    </r>
    <r>
      <rPr>
        <sz val="10"/>
        <rFont val="Arial"/>
        <family val="0"/>
      </rPr>
      <t xml:space="preserve"> ha</t>
    </r>
    <r>
      <rPr>
        <vertAlign val="superscript"/>
        <sz val="10"/>
        <rFont val="Arial"/>
        <family val="2"/>
      </rPr>
      <t>-1</t>
    </r>
    <r>
      <rPr>
        <sz val="10"/>
        <rFont val="Arial"/>
        <family val="2"/>
      </rPr>
      <t xml:space="preserve"> yr</t>
    </r>
    <r>
      <rPr>
        <vertAlign val="superscript"/>
        <sz val="10"/>
        <rFont val="Arial"/>
        <family val="2"/>
      </rPr>
      <t>-1</t>
    </r>
    <r>
      <rPr>
        <sz val="10"/>
        <rFont val="Arial"/>
        <family val="0"/>
      </rPr>
      <t>)</t>
    </r>
  </si>
  <si>
    <r>
      <t>Rate of carbon dioxide emission in undrained soil (t CO</t>
    </r>
    <r>
      <rPr>
        <vertAlign val="subscript"/>
        <sz val="10"/>
        <rFont val="Arial"/>
        <family val="2"/>
      </rPr>
      <t>2</t>
    </r>
    <r>
      <rPr>
        <sz val="10"/>
        <rFont val="Arial"/>
        <family val="0"/>
      </rPr>
      <t xml:space="preserve">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</si>
  <si>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C Content of dry peat (% by weight)</t>
  </si>
  <si>
    <r>
      <t>Total area where fixation by plants is lost (m</t>
    </r>
    <r>
      <rPr>
        <vertAlign val="superscript"/>
        <sz val="10"/>
        <rFont val="Arial"/>
        <family val="2"/>
      </rPr>
      <t>2</t>
    </r>
    <r>
      <rPr>
        <sz val="10"/>
        <rFont val="Arial"/>
        <family val="0"/>
      </rPr>
      <t>)</t>
    </r>
  </si>
  <si>
    <t>Soil organic carbon</t>
  </si>
  <si>
    <t>Min</t>
  </si>
  <si>
    <t>Max</t>
  </si>
  <si>
    <t>Site specific</t>
  </si>
  <si>
    <t>From MLURI (1991)</t>
  </si>
  <si>
    <t>Record comments or assumptions here</t>
  </si>
  <si>
    <t>Enter your values here</t>
  </si>
  <si>
    <r>
      <t>CO</t>
    </r>
    <r>
      <rPr>
        <vertAlign val="subscript"/>
        <sz val="10"/>
        <rFont val="Arial"/>
        <family val="2"/>
      </rPr>
      <t>2</t>
    </r>
    <r>
      <rPr>
        <sz val="10"/>
        <rFont val="Arial"/>
        <family val="2"/>
      </rPr>
      <t xml:space="preserve"> loss from undrained peat left in situ (t CO</t>
    </r>
    <r>
      <rPr>
        <vertAlign val="subscript"/>
        <sz val="10"/>
        <rFont val="Arial"/>
        <family val="2"/>
      </rPr>
      <t>2</t>
    </r>
    <r>
      <rPr>
        <sz val="10"/>
        <rFont val="Arial"/>
        <family val="2"/>
      </rPr>
      <t>)</t>
    </r>
  </si>
  <si>
    <r>
      <t>CO</t>
    </r>
    <r>
      <rPr>
        <b/>
        <vertAlign val="subscript"/>
        <sz val="10"/>
        <rFont val="Arial"/>
        <family val="2"/>
      </rPr>
      <t>2</t>
    </r>
    <r>
      <rPr>
        <b/>
        <sz val="10"/>
        <rFont val="Arial"/>
        <family val="2"/>
      </rPr>
      <t xml:space="preserve"> loss attributable to peat removal only (t CO</t>
    </r>
    <r>
      <rPr>
        <b/>
        <vertAlign val="subscript"/>
        <sz val="10"/>
        <rFont val="Arial"/>
        <family val="2"/>
      </rPr>
      <t>2</t>
    </r>
    <r>
      <rPr>
        <b/>
        <sz val="10"/>
        <rFont val="Arial"/>
        <family val="2"/>
      </rPr>
      <t>)</t>
    </r>
  </si>
  <si>
    <r>
      <t>Carbon accumulation in undrained peats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</si>
  <si>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IPCC default</t>
  </si>
  <si>
    <r>
      <t>CO</t>
    </r>
    <r>
      <rPr>
        <vertAlign val="subscript"/>
        <sz val="10"/>
        <rFont val="Arial"/>
        <family val="2"/>
      </rPr>
      <t>2</t>
    </r>
    <r>
      <rPr>
        <sz val="10"/>
        <rFont val="Arial"/>
        <family val="0"/>
      </rPr>
      <t xml:space="preserve"> emissions from undrained land (t CO</t>
    </r>
    <r>
      <rPr>
        <vertAlign val="subscript"/>
        <sz val="10"/>
        <rFont val="Arial"/>
        <family val="2"/>
      </rPr>
      <t>2</t>
    </r>
    <r>
      <rPr>
        <sz val="10"/>
        <rFont val="Arial"/>
        <family val="0"/>
      </rPr>
      <t>)</t>
    </r>
  </si>
  <si>
    <r>
      <t>CH</t>
    </r>
    <r>
      <rPr>
        <vertAlign val="subscript"/>
        <sz val="10"/>
        <rFont val="Arial"/>
        <family val="2"/>
      </rPr>
      <t>4</t>
    </r>
    <r>
      <rPr>
        <sz val="10"/>
        <rFont val="Arial"/>
        <family val="0"/>
      </rPr>
      <t xml:space="preserve"> emissions from undrained land (t CO</t>
    </r>
    <r>
      <rPr>
        <vertAlign val="subscript"/>
        <sz val="10"/>
        <rFont val="Arial"/>
        <family val="2"/>
      </rPr>
      <t>2</t>
    </r>
    <r>
      <rPr>
        <sz val="10"/>
        <rFont val="Arial"/>
        <family val="0"/>
      </rPr>
      <t xml:space="preserve"> equiv.)</t>
    </r>
  </si>
  <si>
    <t>Total area where fixation by plants is lost (ha)</t>
  </si>
  <si>
    <r>
      <t>Total loss of carbon fixation by plants at the site (t CO</t>
    </r>
    <r>
      <rPr>
        <b/>
        <vertAlign val="subscript"/>
        <sz val="10"/>
        <rFont val="Arial"/>
        <family val="2"/>
      </rPr>
      <t>2</t>
    </r>
    <r>
      <rPr>
        <b/>
        <sz val="10"/>
        <rFont val="Arial"/>
        <family val="2"/>
      </rPr>
      <t>)</t>
    </r>
  </si>
  <si>
    <t>Total loss of carbon accumulation</t>
  </si>
  <si>
    <r>
      <t>CO</t>
    </r>
    <r>
      <rPr>
        <b/>
        <vertAlign val="subscript"/>
        <sz val="10"/>
        <rFont val="Arial"/>
        <family val="2"/>
      </rPr>
      <t>2</t>
    </r>
    <r>
      <rPr>
        <b/>
        <sz val="10"/>
        <rFont val="Arial"/>
        <family val="2"/>
      </rPr>
      <t xml:space="preserve"> loss from removed peat</t>
    </r>
  </si>
  <si>
    <r>
      <t>CO</t>
    </r>
    <r>
      <rPr>
        <b/>
        <vertAlign val="subscript"/>
        <sz val="10"/>
        <rFont val="Arial"/>
        <family val="2"/>
      </rPr>
      <t>2</t>
    </r>
    <r>
      <rPr>
        <b/>
        <sz val="10"/>
        <rFont val="Arial"/>
        <family val="2"/>
      </rPr>
      <t xml:space="preserve"> loss from undrained peat left in situ</t>
    </r>
  </si>
  <si>
    <t>Total area of land lost due to wind farm construction (ha)</t>
  </si>
  <si>
    <r>
      <t>CO</t>
    </r>
    <r>
      <rPr>
        <vertAlign val="subscript"/>
        <sz val="10"/>
        <rFont val="Arial"/>
        <family val="2"/>
      </rPr>
      <t>2</t>
    </r>
    <r>
      <rPr>
        <sz val="10"/>
        <rFont val="Arial"/>
        <family val="2"/>
      </rPr>
      <t xml:space="preserve"> loss from undrained peat left in situ (t CO</t>
    </r>
    <r>
      <rPr>
        <vertAlign val="subscript"/>
        <sz val="10"/>
        <rFont val="Arial"/>
        <family val="2"/>
      </rPr>
      <t xml:space="preserve">2 </t>
    </r>
    <r>
      <rPr>
        <sz val="10"/>
        <rFont val="Arial"/>
        <family val="2"/>
      </rPr>
      <t>ha</t>
    </r>
    <r>
      <rPr>
        <vertAlign val="superscript"/>
        <sz val="10"/>
        <rFont val="Arial"/>
        <family val="2"/>
      </rPr>
      <t>-1</t>
    </r>
    <r>
      <rPr>
        <sz val="10"/>
        <rFont val="Arial"/>
        <family val="2"/>
      </rPr>
      <t>)</t>
    </r>
  </si>
  <si>
    <r>
      <t>CO</t>
    </r>
    <r>
      <rPr>
        <b/>
        <vertAlign val="subscript"/>
        <sz val="10"/>
        <rFont val="Arial"/>
        <family val="2"/>
      </rPr>
      <t>2</t>
    </r>
    <r>
      <rPr>
        <b/>
        <sz val="10"/>
        <rFont val="Arial"/>
        <family val="2"/>
      </rPr>
      <t xml:space="preserve"> loss attributable to peat removal only</t>
    </r>
  </si>
  <si>
    <t>Reduction in payback time (years)</t>
  </si>
  <si>
    <t>Bog plants</t>
  </si>
  <si>
    <t>Note: If peat is treated in such a way that it is permanently restored, so that less than 100% of the C is lost to the atmosphere, a lower percentage can be entered in cell C10</t>
  </si>
  <si>
    <r>
      <t>Carbon sequestered over the lifetime of the wind farm (t C ha</t>
    </r>
    <r>
      <rPr>
        <vertAlign val="superscript"/>
        <sz val="10"/>
        <rFont val="Arial"/>
        <family val="2"/>
      </rPr>
      <t>-1</t>
    </r>
    <r>
      <rPr>
        <sz val="10"/>
        <rFont val="Arial"/>
        <family val="0"/>
      </rPr>
      <t>)</t>
    </r>
  </si>
  <si>
    <r>
      <t>Gross CO</t>
    </r>
    <r>
      <rPr>
        <vertAlign val="subscript"/>
        <sz val="10"/>
        <rFont val="Arial"/>
        <family val="2"/>
      </rPr>
      <t>2</t>
    </r>
    <r>
      <rPr>
        <sz val="10"/>
        <rFont val="Arial"/>
        <family val="2"/>
      </rPr>
      <t xml:space="preserve"> loss from removed peat (t CO</t>
    </r>
    <r>
      <rPr>
        <vertAlign val="subscript"/>
        <sz val="10"/>
        <rFont val="Arial"/>
        <family val="2"/>
      </rPr>
      <t>2</t>
    </r>
    <r>
      <rPr>
        <sz val="10"/>
        <rFont val="Arial"/>
        <family val="2"/>
      </rPr>
      <t>)</t>
    </r>
  </si>
  <si>
    <r>
      <t>Gross CO</t>
    </r>
    <r>
      <rPr>
        <vertAlign val="subscript"/>
        <sz val="10"/>
        <rFont val="Arial"/>
        <family val="2"/>
      </rPr>
      <t>2</t>
    </r>
    <r>
      <rPr>
        <sz val="10"/>
        <rFont val="Arial"/>
        <family val="0"/>
      </rPr>
      <t xml:space="preserve"> loss from drained land (t CO</t>
    </r>
    <r>
      <rPr>
        <vertAlign val="subscript"/>
        <sz val="10"/>
        <rFont val="Arial"/>
        <family val="2"/>
      </rPr>
      <t>2</t>
    </r>
    <r>
      <rPr>
        <sz val="10"/>
        <rFont val="Arial"/>
        <family val="0"/>
      </rPr>
      <t>)</t>
    </r>
  </si>
  <si>
    <r>
      <t>Gross CH</t>
    </r>
    <r>
      <rPr>
        <vertAlign val="subscript"/>
        <sz val="10"/>
        <rFont val="Arial"/>
        <family val="2"/>
      </rPr>
      <t>4</t>
    </r>
    <r>
      <rPr>
        <sz val="10"/>
        <rFont val="Arial"/>
        <family val="0"/>
      </rPr>
      <t xml:space="preserve"> loss from drained land (t CO</t>
    </r>
    <r>
      <rPr>
        <vertAlign val="subscript"/>
        <sz val="10"/>
        <rFont val="Arial"/>
        <family val="2"/>
      </rPr>
      <t>2</t>
    </r>
    <r>
      <rPr>
        <sz val="10"/>
        <rFont val="Arial"/>
        <family val="0"/>
      </rPr>
      <t xml:space="preserve"> equiv.)</t>
    </r>
  </si>
  <si>
    <r>
      <t>Gross CH</t>
    </r>
    <r>
      <rPr>
        <vertAlign val="subscript"/>
        <sz val="10"/>
        <rFont val="Arial"/>
        <family val="2"/>
      </rPr>
      <t>4</t>
    </r>
    <r>
      <rPr>
        <sz val="10"/>
        <rFont val="Arial"/>
        <family val="0"/>
      </rPr>
      <t xml:space="preserve"> loss from flooded land (t CO</t>
    </r>
    <r>
      <rPr>
        <vertAlign val="subscript"/>
        <sz val="10"/>
        <rFont val="Arial"/>
        <family val="2"/>
      </rPr>
      <t>2</t>
    </r>
    <r>
      <rPr>
        <sz val="10"/>
        <rFont val="Arial"/>
        <family val="0"/>
      </rPr>
      <t xml:space="preserve"> equiv.)</t>
    </r>
  </si>
  <si>
    <t>Additional emissions due to reduced thermal efficiency of the reserve generation (%)</t>
  </si>
  <si>
    <t>Average extent of drainage around drainage features at site (m)</t>
  </si>
  <si>
    <t>Counterfactual emission factors</t>
  </si>
  <si>
    <t>Average water table depth at site (cm)</t>
  </si>
  <si>
    <t>Direct input of total emissions</t>
  </si>
  <si>
    <r>
      <t>Method used to estimate CO</t>
    </r>
    <r>
      <rPr>
        <b/>
        <vertAlign val="subscript"/>
        <sz val="10"/>
        <rFont val="Arial"/>
        <family val="2"/>
      </rPr>
      <t>2</t>
    </r>
    <r>
      <rPr>
        <b/>
        <sz val="10"/>
        <rFont val="Arial"/>
        <family val="2"/>
      </rPr>
      <t xml:space="preserve"> emissions from turbine life (eg. manufacture, construction, decommissioning)?</t>
    </r>
  </si>
  <si>
    <t>Calculation of emissions due to turbine life from energy output</t>
  </si>
  <si>
    <t xml:space="preserve">                                                   …coal-fired electricity generation</t>
  </si>
  <si>
    <t xml:space="preserve">                                                   …grid-mix of electricity generation</t>
  </si>
  <si>
    <t xml:space="preserve">                                                   …fossil fuel - mix of electricity generation</t>
  </si>
  <si>
    <t>Dimensions</t>
  </si>
  <si>
    <t>Performance</t>
  </si>
  <si>
    <r>
      <t>Carbon dioxide emissions from turbine life</t>
    </r>
    <r>
      <rPr>
        <sz val="10"/>
        <rFont val="Arial"/>
        <family val="2"/>
      </rPr>
      <t xml:space="preserve"> -                      (eg. manufacture, construction, decommissioning)</t>
    </r>
  </si>
  <si>
    <t>Improvement of degraded bog</t>
  </si>
  <si>
    <t>Time required for hydrology and habitat of bog to return to its previous state on improvement (years)</t>
  </si>
  <si>
    <t>Water table depth in degraded bog before improvement (m)</t>
  </si>
  <si>
    <t>Water table depth in degraded bog after improvement (m)</t>
  </si>
  <si>
    <t>Improvement of C sequestration at site by blocking drains, restoration of habitat etc</t>
  </si>
  <si>
    <t>Improvement of felled plantation land</t>
  </si>
  <si>
    <t>Area of felled plantation to be improved (ha)</t>
  </si>
  <si>
    <t xml:space="preserve">Area of degraded bog to be improved (ha)             </t>
  </si>
  <si>
    <t>Characteristics of peatland before wind farm development</t>
  </si>
  <si>
    <r>
      <t>Average rate of carbon sequesteration in timber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</si>
  <si>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Average depth of peat at site (m)</t>
  </si>
  <si>
    <t>Water table depth in felled area before improvement (m)</t>
  </si>
  <si>
    <t>Water table depth in felled area after improvement (m)</t>
  </si>
  <si>
    <t>Time required for hydrology and habitat of felled plantation to return to its previous state on improvement (years)</t>
  </si>
  <si>
    <t>Restoration of site after decomissioning</t>
  </si>
  <si>
    <t>Will the habitat of the site be restored on decommissioning?</t>
  </si>
  <si>
    <t>Will the hydrology of the site be restored on decommissioning?</t>
  </si>
  <si>
    <t xml:space="preserve">         …fossil fuel - mix of electricity generation</t>
  </si>
  <si>
    <t xml:space="preserve">         …coal-fired electricity generation</t>
  </si>
  <si>
    <t xml:space="preserve">         …grid-mix of electricity generation</t>
  </si>
  <si>
    <r>
      <t>Carbon accumulation over lifetime of wind farm (tCO</t>
    </r>
    <r>
      <rPr>
        <vertAlign val="subscript"/>
        <sz val="10"/>
        <rFont val="Arial"/>
        <family val="2"/>
      </rPr>
      <t>2</t>
    </r>
    <r>
      <rPr>
        <sz val="10"/>
        <rFont val="Arial"/>
        <family val="0"/>
      </rPr>
      <t xml:space="preserve"> eq. </t>
    </r>
    <r>
      <rPr>
        <sz val="10"/>
        <rFont val="Arial"/>
        <family val="2"/>
      </rPr>
      <t>ha</t>
    </r>
    <r>
      <rPr>
        <vertAlign val="superscript"/>
        <sz val="10"/>
        <rFont val="Arial"/>
        <family val="2"/>
      </rPr>
      <t>-1</t>
    </r>
    <r>
      <rPr>
        <sz val="10"/>
        <rFont val="Arial"/>
        <family val="0"/>
      </rPr>
      <t>)</t>
    </r>
  </si>
  <si>
    <t>Total loss of carbon accumulation by bog plants</t>
  </si>
  <si>
    <t>Area where carbon accumulation by bog plants is lost</t>
  </si>
  <si>
    <r>
      <t>Carbon accumulation due to C fixation by bog plants in undrained peats (tC ha</t>
    </r>
    <r>
      <rPr>
        <vertAlign val="superscript"/>
        <sz val="10"/>
        <rFont val="Arial"/>
        <family val="2"/>
      </rPr>
      <t>-1</t>
    </r>
    <r>
      <rPr>
        <sz val="10"/>
        <rFont val="Arial"/>
        <family val="0"/>
      </rPr>
      <t xml:space="preserve"> yr</t>
    </r>
    <r>
      <rPr>
        <vertAlign val="superscript"/>
        <sz val="10"/>
        <rFont val="Arial"/>
        <family val="2"/>
      </rPr>
      <t>-1</t>
    </r>
    <r>
      <rPr>
        <sz val="10"/>
        <rFont val="Arial"/>
        <family val="0"/>
      </rPr>
      <t>)</t>
    </r>
  </si>
  <si>
    <t>Characteristics of bog plants</t>
  </si>
  <si>
    <t>Note: Annual C fixation by the site is calculated by multiplying area of the wind farm by the annual C accumulation due to bog plant fixation</t>
  </si>
  <si>
    <t>Note: Extent of site affected by drainage is calculated assuming an average extent of drainage around each drainage feature as given in the input data.</t>
  </si>
  <si>
    <r>
      <t>Note: Note, CO</t>
    </r>
    <r>
      <rPr>
        <vertAlign val="subscript"/>
        <sz val="8"/>
        <rFont val="Arial"/>
        <family val="2"/>
      </rPr>
      <t>2</t>
    </r>
    <r>
      <rPr>
        <sz val="8"/>
        <rFont val="Arial"/>
        <family val="2"/>
      </rPr>
      <t xml:space="preserve"> losses are calculated using two approaches: IPCC default methodology and more site specific equations derived for this project. The IPCC methodology is included because it is the established approach, although it contains no site detail. The new equations have been derived directly from experimental data for acid bogs and fens (see Nayak et al, 2008 - Final report).</t>
    </r>
  </si>
  <si>
    <t>Calculations of C Loss from Drained Land if Site is NOT Restored after Decommissioning</t>
  </si>
  <si>
    <t>Calculations of C loss from Drained Land if Site IS Restored after Decommissioning</t>
  </si>
  <si>
    <r>
      <t>Gross CO</t>
    </r>
    <r>
      <rPr>
        <vertAlign val="subscript"/>
        <sz val="10"/>
        <rFont val="Arial"/>
        <family val="2"/>
      </rPr>
      <t>2</t>
    </r>
    <r>
      <rPr>
        <sz val="10"/>
        <rFont val="Arial"/>
        <family val="0"/>
      </rPr>
      <t xml:space="preserve"> loss from improved land (t CO</t>
    </r>
    <r>
      <rPr>
        <vertAlign val="subscript"/>
        <sz val="10"/>
        <rFont val="Arial"/>
        <family val="2"/>
      </rPr>
      <t>2</t>
    </r>
    <r>
      <rPr>
        <sz val="10"/>
        <rFont val="Arial"/>
        <family val="0"/>
      </rPr>
      <t>)</t>
    </r>
  </si>
  <si>
    <r>
      <t>Note: Note, CO</t>
    </r>
    <r>
      <rPr>
        <vertAlign val="subscript"/>
        <sz val="8"/>
        <rFont val="Arial"/>
        <family val="2"/>
      </rPr>
      <t>2</t>
    </r>
    <r>
      <rPr>
        <sz val="8"/>
        <rFont val="Arial"/>
        <family val="2"/>
      </rPr>
      <t xml:space="preserve"> losses from DOC are calculated using a simple approach derived from estimates of the total C loss leached as DOC and the percentage of leached DOC lost as CO2</t>
    </r>
  </si>
  <si>
    <t>Time required for regeneration of bog plants after restoration (years)</t>
  </si>
  <si>
    <t>Area to be improved (ha)</t>
  </si>
  <si>
    <t>Degraded Bog</t>
  </si>
  <si>
    <t>Time required for hydrology and habitat to return to its previous state on restoration (years)</t>
  </si>
  <si>
    <t>Water table depth before improvement (m)</t>
  </si>
  <si>
    <r>
      <t>8. CO</t>
    </r>
    <r>
      <rPr>
        <vertAlign val="subscript"/>
        <sz val="10"/>
        <rFont val="Comic Sans MS"/>
        <family val="4"/>
      </rPr>
      <t>2</t>
    </r>
    <r>
      <rPr>
        <sz val="10"/>
        <rFont val="Comic Sans MS"/>
        <family val="4"/>
      </rPr>
      <t xml:space="preserve"> gain - site improvement</t>
    </r>
  </si>
  <si>
    <t>1. Description of site</t>
  </si>
  <si>
    <t>2. Losses with improvement</t>
  </si>
  <si>
    <r>
      <t>CH</t>
    </r>
    <r>
      <rPr>
        <vertAlign val="subscript"/>
        <sz val="10"/>
        <rFont val="Arial"/>
        <family val="2"/>
      </rPr>
      <t>4</t>
    </r>
    <r>
      <rPr>
        <sz val="10"/>
        <rFont val="Arial"/>
        <family val="0"/>
      </rPr>
      <t xml:space="preserve"> emissions from improved land (t CO</t>
    </r>
    <r>
      <rPr>
        <vertAlign val="subscript"/>
        <sz val="10"/>
        <rFont val="Arial"/>
        <family val="2"/>
      </rPr>
      <t>2</t>
    </r>
    <r>
      <rPr>
        <sz val="10"/>
        <rFont val="Arial"/>
        <family val="0"/>
      </rPr>
      <t xml:space="preserve"> equiv.)</t>
    </r>
  </si>
  <si>
    <r>
      <t>CO</t>
    </r>
    <r>
      <rPr>
        <vertAlign val="subscript"/>
        <sz val="10"/>
        <rFont val="Arial"/>
        <family val="2"/>
      </rPr>
      <t>2</t>
    </r>
    <r>
      <rPr>
        <sz val="10"/>
        <rFont val="Arial"/>
        <family val="0"/>
      </rPr>
      <t xml:space="preserve"> emissions from improved land (t CO</t>
    </r>
    <r>
      <rPr>
        <vertAlign val="subscript"/>
        <sz val="10"/>
        <rFont val="Arial"/>
        <family val="2"/>
      </rPr>
      <t>2</t>
    </r>
    <r>
      <rPr>
        <sz val="10"/>
        <rFont val="Arial"/>
        <family val="0"/>
      </rPr>
      <t>)</t>
    </r>
  </si>
  <si>
    <t>3. Losses without improvement</t>
  </si>
  <si>
    <t>Methane emissions from unimproved land</t>
  </si>
  <si>
    <t>Carbon dioxide emissions from unimproved land</t>
  </si>
  <si>
    <r>
      <t>CH</t>
    </r>
    <r>
      <rPr>
        <vertAlign val="subscript"/>
        <sz val="10"/>
        <rFont val="Arial"/>
        <family val="2"/>
      </rPr>
      <t>4</t>
    </r>
    <r>
      <rPr>
        <sz val="10"/>
        <rFont val="Arial"/>
        <family val="0"/>
      </rPr>
      <t xml:space="preserve"> emissions from unimproved land (t CO</t>
    </r>
    <r>
      <rPr>
        <vertAlign val="subscript"/>
        <sz val="10"/>
        <rFont val="Arial"/>
        <family val="2"/>
      </rPr>
      <t>2</t>
    </r>
    <r>
      <rPr>
        <sz val="10"/>
        <rFont val="Arial"/>
        <family val="0"/>
      </rPr>
      <t xml:space="preserve"> equiv.)</t>
    </r>
  </si>
  <si>
    <r>
      <t>CO</t>
    </r>
    <r>
      <rPr>
        <vertAlign val="subscript"/>
        <sz val="10"/>
        <rFont val="Arial"/>
        <family val="2"/>
      </rPr>
      <t>2</t>
    </r>
    <r>
      <rPr>
        <sz val="10"/>
        <rFont val="Arial"/>
        <family val="0"/>
      </rPr>
      <t xml:space="preserve"> emissions from unimproved land (t CO</t>
    </r>
    <r>
      <rPr>
        <vertAlign val="subscript"/>
        <sz val="10"/>
        <rFont val="Arial"/>
        <family val="2"/>
      </rPr>
      <t>2</t>
    </r>
    <r>
      <rPr>
        <sz val="10"/>
        <rFont val="Arial"/>
        <family val="0"/>
      </rPr>
      <t>)</t>
    </r>
  </si>
  <si>
    <r>
      <t>Total GHG emissions from unimproved land (t CO</t>
    </r>
    <r>
      <rPr>
        <b/>
        <vertAlign val="subscript"/>
        <sz val="10"/>
        <rFont val="Arial"/>
        <family val="2"/>
      </rPr>
      <t>2</t>
    </r>
    <r>
      <rPr>
        <b/>
        <sz val="10"/>
        <rFont val="Arial"/>
        <family val="2"/>
      </rPr>
      <t xml:space="preserve"> equiv.)</t>
    </r>
  </si>
  <si>
    <t>Reduction in GHG emissions due to improvement of site</t>
  </si>
  <si>
    <r>
      <t>Total GHG emissions from unimproved land (t CO</t>
    </r>
    <r>
      <rPr>
        <vertAlign val="subscript"/>
        <sz val="10"/>
        <rFont val="Arial"/>
        <family val="2"/>
      </rPr>
      <t>2</t>
    </r>
    <r>
      <rPr>
        <sz val="10"/>
        <rFont val="Arial"/>
        <family val="2"/>
      </rPr>
      <t xml:space="preserve"> equiv.)</t>
    </r>
  </si>
  <si>
    <t>4. Reduction in GHG emissions due to improvement of site</t>
  </si>
  <si>
    <r>
      <t>Total GHG emissions from improved land (t CO</t>
    </r>
    <r>
      <rPr>
        <vertAlign val="subscript"/>
        <sz val="10"/>
        <rFont val="Arial"/>
        <family val="2"/>
      </rPr>
      <t>2</t>
    </r>
    <r>
      <rPr>
        <sz val="10"/>
        <rFont val="Arial"/>
        <family val="2"/>
      </rPr>
      <t xml:space="preserve"> equiv.)</t>
    </r>
  </si>
  <si>
    <r>
      <t>Reduction in GHG emissions due to improvement (t CO</t>
    </r>
    <r>
      <rPr>
        <b/>
        <vertAlign val="subscript"/>
        <sz val="10"/>
        <rFont val="Arial"/>
        <family val="2"/>
      </rPr>
      <t>2</t>
    </r>
    <r>
      <rPr>
        <b/>
        <sz val="10"/>
        <rFont val="Arial"/>
        <family val="2"/>
      </rPr>
      <t xml:space="preserve"> equiv.)</t>
    </r>
  </si>
  <si>
    <r>
      <t>Reduction in CO</t>
    </r>
    <r>
      <rPr>
        <b/>
        <vertAlign val="subscript"/>
        <sz val="10"/>
        <rFont val="Arial"/>
        <family val="2"/>
      </rPr>
      <t>2</t>
    </r>
    <r>
      <rPr>
        <b/>
        <sz val="10"/>
        <rFont val="Arial"/>
        <family val="2"/>
      </rPr>
      <t xml:space="preserve"> payback time of wind farm due improvement of</t>
    </r>
  </si>
  <si>
    <r>
      <t>Reduction in CO</t>
    </r>
    <r>
      <rPr>
        <b/>
        <u val="single"/>
        <vertAlign val="subscript"/>
        <sz val="10"/>
        <rFont val="Arial"/>
        <family val="2"/>
      </rPr>
      <t>2</t>
    </r>
    <r>
      <rPr>
        <b/>
        <u val="single"/>
        <sz val="10"/>
        <rFont val="Arial"/>
        <family val="2"/>
      </rPr>
      <t xml:space="preserve"> payback time of wind farm due improvement of site</t>
    </r>
  </si>
  <si>
    <t xml:space="preserve">                                            …fossil fuel - mix of electricity generation</t>
  </si>
  <si>
    <t xml:space="preserve">                                            …coal-fired electricity generation</t>
  </si>
  <si>
    <t xml:space="preserve">                                            …grid-mix of electricity generation</t>
  </si>
  <si>
    <r>
      <t>Total CO</t>
    </r>
    <r>
      <rPr>
        <b/>
        <vertAlign val="subscript"/>
        <sz val="10"/>
        <rFont val="Arial"/>
        <family val="2"/>
      </rPr>
      <t>2</t>
    </r>
    <r>
      <rPr>
        <b/>
        <sz val="10"/>
        <rFont val="Arial"/>
        <family val="2"/>
      </rPr>
      <t xml:space="preserve"> gains due to improvement of site</t>
    </r>
  </si>
  <si>
    <r>
      <t>7. CO</t>
    </r>
    <r>
      <rPr>
        <vertAlign val="subscript"/>
        <sz val="10"/>
        <rFont val="Comic Sans MS"/>
        <family val="4"/>
      </rPr>
      <t>2</t>
    </r>
    <r>
      <rPr>
        <sz val="10"/>
        <rFont val="Comic Sans MS"/>
        <family val="4"/>
      </rPr>
      <t xml:space="preserve"> loss - felling forestry</t>
    </r>
  </si>
  <si>
    <t>7. Losses due to felling forestry</t>
  </si>
  <si>
    <t>Felled Forestry</t>
  </si>
  <si>
    <t>Forestry Plantation Characteristics</t>
  </si>
  <si>
    <t xml:space="preserve">8. Gains due to improvement of felled forestry </t>
  </si>
  <si>
    <t>8. Gains due to improvement of degraded bogs</t>
  </si>
  <si>
    <t>Improved felled forestry</t>
  </si>
  <si>
    <t>Improved degraded bogs</t>
  </si>
  <si>
    <t>GHG Emissions</t>
  </si>
  <si>
    <t>Restoration of peat removed from borrow pits</t>
  </si>
  <si>
    <t>Area of borrow pits to be restored (ha)</t>
  </si>
  <si>
    <t>Water table depth in borrow pit after restoration (m)</t>
  </si>
  <si>
    <t>Time required for hydrology and habitat of borrow pit to return to its previous state on restoration (years)</t>
  </si>
  <si>
    <t>Borrow Pits</t>
  </si>
  <si>
    <t>Restored borrow pits</t>
  </si>
  <si>
    <t>8. Gains due to restoration of peat from borrow pits</t>
  </si>
  <si>
    <t>Weblink: Peat Landslide Hazard and Risk Assessments: Best Practice Guide for Proposed Electricity Generation Developments</t>
  </si>
  <si>
    <t>Calculate wrt installed capacity</t>
  </si>
  <si>
    <t>Wind farm characteristics</t>
  </si>
  <si>
    <r>
      <t>Total CO</t>
    </r>
    <r>
      <rPr>
        <vertAlign val="subscript"/>
        <sz val="10"/>
        <rFont val="Arial"/>
        <family val="2"/>
      </rPr>
      <t>2</t>
    </r>
    <r>
      <rPr>
        <sz val="10"/>
        <rFont val="Arial"/>
        <family val="0"/>
      </rPr>
      <t xml:space="preserve"> emission from turbine life (tCO</t>
    </r>
    <r>
      <rPr>
        <vertAlign val="subscript"/>
        <sz val="10"/>
        <rFont val="Arial"/>
        <family val="2"/>
      </rPr>
      <t xml:space="preserve">2 </t>
    </r>
    <r>
      <rPr>
        <sz val="10"/>
        <rFont val="Arial"/>
        <family val="2"/>
      </rPr>
      <t>wind farm</t>
    </r>
    <r>
      <rPr>
        <vertAlign val="superscript"/>
        <sz val="10"/>
        <rFont val="Arial"/>
        <family val="2"/>
      </rPr>
      <t>-1</t>
    </r>
    <r>
      <rPr>
        <sz val="10"/>
        <rFont val="Arial"/>
        <family val="0"/>
      </rPr>
      <t xml:space="preserve">)                    </t>
    </r>
    <r>
      <rPr>
        <i/>
        <sz val="10"/>
        <rFont val="Arial"/>
        <family val="2"/>
      </rPr>
      <t>(if known use direct input of emissions from turbine life)</t>
    </r>
  </si>
  <si>
    <r>
      <t>Wind farm CO</t>
    </r>
    <r>
      <rPr>
        <b/>
        <vertAlign val="subscript"/>
        <sz val="10"/>
        <rFont val="Arial"/>
        <family val="2"/>
      </rPr>
      <t xml:space="preserve">2 </t>
    </r>
    <r>
      <rPr>
        <b/>
        <sz val="10"/>
        <rFont val="Arial"/>
        <family val="0"/>
      </rPr>
      <t>emission saving over…</t>
    </r>
  </si>
  <si>
    <r>
      <t>1. Wind farm CO</t>
    </r>
    <r>
      <rPr>
        <b/>
        <vertAlign val="subscript"/>
        <sz val="10"/>
        <rFont val="Arial"/>
        <family val="2"/>
      </rPr>
      <t>2</t>
    </r>
    <r>
      <rPr>
        <b/>
        <sz val="10"/>
        <rFont val="Arial"/>
        <family val="2"/>
      </rPr>
      <t xml:space="preserve"> emission saving </t>
    </r>
  </si>
  <si>
    <r>
      <t>Total CO</t>
    </r>
    <r>
      <rPr>
        <b/>
        <vertAlign val="subscript"/>
        <sz val="10"/>
        <rFont val="Arial"/>
        <family val="2"/>
      </rPr>
      <t>2</t>
    </r>
    <r>
      <rPr>
        <b/>
        <sz val="10"/>
        <rFont val="Arial"/>
        <family val="2"/>
      </rPr>
      <t xml:space="preserve"> losses due to wind farm</t>
    </r>
  </si>
  <si>
    <t>Power of wind farm (MW)</t>
  </si>
  <si>
    <r>
      <t>Annual energy output from wind farm (MWh yr</t>
    </r>
    <r>
      <rPr>
        <vertAlign val="superscript"/>
        <sz val="10"/>
        <rFont val="Arial"/>
        <family val="2"/>
      </rPr>
      <t>-1</t>
    </r>
    <r>
      <rPr>
        <sz val="10"/>
        <rFont val="Arial"/>
        <family val="0"/>
      </rPr>
      <t>)</t>
    </r>
  </si>
  <si>
    <r>
      <t>Direct input of emissions due to turbine life (t CO</t>
    </r>
    <r>
      <rPr>
        <b/>
        <vertAlign val="subscript"/>
        <sz val="10"/>
        <rFont val="Arial"/>
        <family val="2"/>
      </rPr>
      <t>2</t>
    </r>
    <r>
      <rPr>
        <b/>
        <sz val="10"/>
        <rFont val="Arial"/>
        <family val="2"/>
      </rPr>
      <t xml:space="preserve"> wind farm</t>
    </r>
    <r>
      <rPr>
        <b/>
        <vertAlign val="superscript"/>
        <sz val="10"/>
        <rFont val="Arial"/>
        <family val="2"/>
      </rPr>
      <t>-1</t>
    </r>
    <r>
      <rPr>
        <b/>
        <sz val="10"/>
        <rFont val="Arial"/>
        <family val="2"/>
      </rPr>
      <t>)</t>
    </r>
  </si>
  <si>
    <r>
      <t>Total calculated CO</t>
    </r>
    <r>
      <rPr>
        <vertAlign val="subscript"/>
        <sz val="10"/>
        <rFont val="Arial"/>
        <family val="2"/>
      </rPr>
      <t>2</t>
    </r>
    <r>
      <rPr>
        <sz val="10"/>
        <rFont val="Arial"/>
        <family val="0"/>
      </rPr>
      <t xml:space="preserve"> emission of the wind farm due to turbine life (t CO</t>
    </r>
    <r>
      <rPr>
        <vertAlign val="subscript"/>
        <sz val="10"/>
        <rFont val="Arial"/>
        <family val="2"/>
      </rPr>
      <t>2</t>
    </r>
    <r>
      <rPr>
        <sz val="10"/>
        <rFont val="Arial"/>
        <family val="0"/>
      </rPr>
      <t xml:space="preserve"> wind farm</t>
    </r>
    <r>
      <rPr>
        <vertAlign val="superscript"/>
        <sz val="10"/>
        <rFont val="Arial"/>
        <family val="2"/>
      </rPr>
      <t>-1</t>
    </r>
    <r>
      <rPr>
        <sz val="10"/>
        <rFont val="Arial"/>
        <family val="2"/>
      </rPr>
      <t>)</t>
    </r>
  </si>
  <si>
    <r>
      <t>Selected value for emissions due to turbine life (t CO</t>
    </r>
    <r>
      <rPr>
        <b/>
        <vertAlign val="subscript"/>
        <sz val="10"/>
        <rFont val="Arial"/>
        <family val="2"/>
      </rPr>
      <t>2</t>
    </r>
    <r>
      <rPr>
        <b/>
        <sz val="10"/>
        <rFont val="Arial"/>
        <family val="2"/>
      </rPr>
      <t xml:space="preserve"> wind farm</t>
    </r>
    <r>
      <rPr>
        <b/>
        <vertAlign val="superscript"/>
        <sz val="10"/>
        <rFont val="Arial"/>
        <family val="2"/>
      </rPr>
      <t>-1</t>
    </r>
    <r>
      <rPr>
        <b/>
        <sz val="10"/>
        <rFont val="Arial"/>
        <family val="2"/>
      </rPr>
      <t>)</t>
    </r>
  </si>
  <si>
    <r>
      <t>Additional CO</t>
    </r>
    <r>
      <rPr>
        <b/>
        <vertAlign val="subscript"/>
        <sz val="10"/>
        <rFont val="Arial"/>
        <family val="2"/>
      </rPr>
      <t>2</t>
    </r>
    <r>
      <rPr>
        <b/>
        <sz val="10"/>
        <rFont val="Arial"/>
        <family val="2"/>
      </rPr>
      <t xml:space="preserve"> payback time of wind farm due to turbine life (eg. manufacture, contruction, decomissioning)</t>
    </r>
  </si>
  <si>
    <r>
      <t>Power of wind farm (MW h</t>
    </r>
    <r>
      <rPr>
        <vertAlign val="superscript"/>
        <sz val="10"/>
        <rFont val="Arial"/>
        <family val="2"/>
      </rPr>
      <t>-1</t>
    </r>
    <r>
      <rPr>
        <sz val="10"/>
        <rFont val="Arial"/>
        <family val="0"/>
      </rPr>
      <t>)</t>
    </r>
  </si>
  <si>
    <r>
      <t>Additional CO</t>
    </r>
    <r>
      <rPr>
        <b/>
        <vertAlign val="subscript"/>
        <sz val="10"/>
        <rFont val="Arial"/>
        <family val="2"/>
      </rPr>
      <t>2</t>
    </r>
    <r>
      <rPr>
        <b/>
        <sz val="10"/>
        <rFont val="Arial"/>
        <family val="2"/>
      </rPr>
      <t xml:space="preserve"> payback time of wind farm due to backup</t>
    </r>
  </si>
  <si>
    <r>
      <t>Additional CO</t>
    </r>
    <r>
      <rPr>
        <b/>
        <vertAlign val="subscript"/>
        <sz val="10"/>
        <rFont val="Arial"/>
        <family val="2"/>
      </rPr>
      <t>2</t>
    </r>
    <r>
      <rPr>
        <b/>
        <sz val="10"/>
        <rFont val="Arial"/>
        <family val="2"/>
      </rPr>
      <t xml:space="preserve"> payback time of wind farm due to removal of peat during construction</t>
    </r>
  </si>
  <si>
    <r>
      <t>Additional CO</t>
    </r>
    <r>
      <rPr>
        <b/>
        <vertAlign val="subscript"/>
        <sz val="10"/>
        <rFont val="Arial"/>
        <family val="2"/>
      </rPr>
      <t>2</t>
    </r>
    <r>
      <rPr>
        <b/>
        <sz val="10"/>
        <rFont val="Arial"/>
        <family val="2"/>
      </rPr>
      <t xml:space="preserve"> payback time of wind farm due to drainage of peat</t>
    </r>
  </si>
  <si>
    <r>
      <t>Additional CO</t>
    </r>
    <r>
      <rPr>
        <b/>
        <vertAlign val="subscript"/>
        <sz val="10"/>
        <rFont val="Arial"/>
        <family val="2"/>
      </rPr>
      <t>2</t>
    </r>
    <r>
      <rPr>
        <b/>
        <sz val="10"/>
        <rFont val="Arial"/>
        <family val="2"/>
      </rPr>
      <t xml:space="preserve"> payback time of wind farm due to  felling of forestry</t>
    </r>
  </si>
  <si>
    <t>Total</t>
  </si>
  <si>
    <r>
      <t>Dry soil bulk density (g cm</t>
    </r>
    <r>
      <rPr>
        <vertAlign val="superscript"/>
        <sz val="10"/>
        <rFont val="Arial"/>
        <family val="2"/>
      </rPr>
      <t>-3</t>
    </r>
    <r>
      <rPr>
        <sz val="10"/>
        <rFont val="Arial"/>
        <family val="0"/>
      </rPr>
      <t>)</t>
    </r>
  </si>
  <si>
    <t>Time to completion of backfilling, removal of any surface drains, and full restoration of the hydrology (years)</t>
  </si>
  <si>
    <t>Cable Trenches</t>
  </si>
  <si>
    <t>Length of any cable trench that does not follow access tracks and is lined with a permeable medium (eg. sand) (m)</t>
  </si>
  <si>
    <t>Depth of cable trench (m)</t>
  </si>
  <si>
    <t>Peat affected by drainage of cable trenches</t>
  </si>
  <si>
    <r>
      <t>Total area affected by drainage of cable trenches (m</t>
    </r>
    <r>
      <rPr>
        <vertAlign val="superscript"/>
        <sz val="10"/>
        <rFont val="Arial"/>
        <family val="2"/>
      </rPr>
      <t>2</t>
    </r>
    <r>
      <rPr>
        <sz val="10"/>
        <rFont val="Arial"/>
        <family val="0"/>
      </rPr>
      <t>)</t>
    </r>
  </si>
  <si>
    <r>
      <t>Total volume affected by drainage of cable trenches (m</t>
    </r>
    <r>
      <rPr>
        <vertAlign val="superscript"/>
        <sz val="10"/>
        <rFont val="Arial"/>
        <family val="2"/>
      </rPr>
      <t>3</t>
    </r>
    <r>
      <rPr>
        <sz val="10"/>
        <rFont val="Arial"/>
        <family val="0"/>
      </rPr>
      <t>)</t>
    </r>
  </si>
  <si>
    <t>Uncertainty due to estimated CO2 emissions due to turbine life</t>
  </si>
  <si>
    <r>
      <t>CO</t>
    </r>
    <r>
      <rPr>
        <vertAlign val="subscript"/>
        <sz val="10"/>
        <rFont val="Arial"/>
        <family val="2"/>
      </rPr>
      <t>2</t>
    </r>
    <r>
      <rPr>
        <sz val="10"/>
        <rFont val="Arial"/>
        <family val="0"/>
      </rPr>
      <t xml:space="preserve"> emissions due to turbine life (tCO</t>
    </r>
    <r>
      <rPr>
        <vertAlign val="subscript"/>
        <sz val="10"/>
        <rFont val="Arial"/>
        <family val="2"/>
      </rPr>
      <t>2</t>
    </r>
    <r>
      <rPr>
        <sz val="10"/>
        <rFont val="Arial"/>
        <family val="0"/>
      </rPr>
      <t xml:space="preserve"> turbine</t>
    </r>
    <r>
      <rPr>
        <vertAlign val="superscript"/>
        <sz val="10"/>
        <rFont val="Arial"/>
        <family val="2"/>
      </rPr>
      <t>-1</t>
    </r>
    <r>
      <rPr>
        <sz val="10"/>
        <rFont val="Arial"/>
        <family val="0"/>
      </rPr>
      <t>)</t>
    </r>
  </si>
  <si>
    <t>% total soil C losses, lost as POC</t>
  </si>
  <si>
    <r>
      <t>% POC loss emitted as CO</t>
    </r>
    <r>
      <rPr>
        <vertAlign val="subscript"/>
        <sz val="10"/>
        <rFont val="Arial"/>
        <family val="2"/>
      </rPr>
      <t>2</t>
    </r>
    <r>
      <rPr>
        <sz val="10"/>
        <rFont val="Arial"/>
        <family val="0"/>
      </rPr>
      <t xml:space="preserve"> over the long term</t>
    </r>
  </si>
  <si>
    <r>
      <t>Total CO</t>
    </r>
    <r>
      <rPr>
        <b/>
        <vertAlign val="subscript"/>
        <sz val="10"/>
        <rFont val="Arial"/>
        <family val="2"/>
      </rPr>
      <t>2</t>
    </r>
    <r>
      <rPr>
        <b/>
        <sz val="10"/>
        <rFont val="Arial"/>
        <family val="2"/>
      </rPr>
      <t xml:space="preserve"> loss due to POC leaching (t CO</t>
    </r>
    <r>
      <rPr>
        <b/>
        <vertAlign val="subscript"/>
        <sz val="10"/>
        <rFont val="Arial"/>
        <family val="2"/>
      </rPr>
      <t>2</t>
    </r>
    <r>
      <rPr>
        <b/>
        <sz val="10"/>
        <rFont val="Arial"/>
        <family val="2"/>
      </rPr>
      <t>)</t>
    </r>
  </si>
  <si>
    <t>Total C loss as POC (t C)</t>
  </si>
  <si>
    <r>
      <t>Total CO</t>
    </r>
    <r>
      <rPr>
        <b/>
        <vertAlign val="subscript"/>
        <sz val="10"/>
        <rFont val="Arial"/>
        <family val="2"/>
      </rPr>
      <t>2</t>
    </r>
    <r>
      <rPr>
        <b/>
        <sz val="10"/>
        <rFont val="Arial"/>
        <family val="2"/>
      </rPr>
      <t xml:space="preserve"> loss due to DOC &amp; POC leaching (t CO</t>
    </r>
    <r>
      <rPr>
        <b/>
        <vertAlign val="subscript"/>
        <sz val="10"/>
        <rFont val="Arial"/>
        <family val="2"/>
      </rPr>
      <t>2</t>
    </r>
    <r>
      <rPr>
        <b/>
        <sz val="10"/>
        <rFont val="Arial"/>
        <family val="2"/>
      </rPr>
      <t>)</t>
    </r>
  </si>
  <si>
    <r>
      <t>6. CO</t>
    </r>
    <r>
      <rPr>
        <vertAlign val="subscript"/>
        <sz val="10"/>
        <rFont val="Comic Sans MS"/>
        <family val="4"/>
      </rPr>
      <t>2</t>
    </r>
    <r>
      <rPr>
        <sz val="10"/>
        <rFont val="Comic Sans MS"/>
        <family val="4"/>
      </rPr>
      <t xml:space="preserve"> loss by DOC &amp; POC loss</t>
    </r>
  </si>
  <si>
    <t>6. Losses due to DOC &amp; POC leaching</t>
  </si>
  <si>
    <t>Dissolved and particulate organic carbon</t>
  </si>
  <si>
    <t xml:space="preserve">Improvement of… </t>
  </si>
  <si>
    <t>Foundations &amp; Hardstanding</t>
  </si>
  <si>
    <t>Removal of drainage from foundations and hardstanding</t>
  </si>
  <si>
    <t>Water table depth around foundations and hardstanding after restoration (m)</t>
  </si>
  <si>
    <t>8. Gains due to removal of drainage from foundations &amp; hardstanding</t>
  </si>
  <si>
    <r>
      <t>Additional CO</t>
    </r>
    <r>
      <rPr>
        <b/>
        <vertAlign val="subscript"/>
        <sz val="10"/>
        <rFont val="Arial"/>
        <family val="2"/>
      </rPr>
      <t>2</t>
    </r>
    <r>
      <rPr>
        <b/>
        <sz val="10"/>
        <rFont val="Arial"/>
        <family val="2"/>
      </rPr>
      <t xml:space="preserve"> payback time of wind farm due to DOC and POC leaching</t>
    </r>
  </si>
  <si>
    <t>5a. Volume of peat removed</t>
  </si>
  <si>
    <t>5c. Volume of peat drained</t>
  </si>
  <si>
    <r>
      <t>Carbon dioxide gains (tCO</t>
    </r>
    <r>
      <rPr>
        <vertAlign val="subscript"/>
        <sz val="10"/>
        <rFont val="Arial"/>
        <family val="2"/>
      </rPr>
      <t>2 eq.</t>
    </r>
    <r>
      <rPr>
        <sz val="10"/>
        <rFont val="Arial"/>
        <family val="2"/>
      </rPr>
      <t>)</t>
    </r>
  </si>
  <si>
    <r>
      <t>Carbon dioxide losses (t CO</t>
    </r>
    <r>
      <rPr>
        <vertAlign val="subscript"/>
        <sz val="10"/>
        <rFont val="Arial"/>
        <family val="2"/>
      </rPr>
      <t>2 eq.</t>
    </r>
    <r>
      <rPr>
        <sz val="10"/>
        <rFont val="Arial"/>
        <family val="2"/>
      </rPr>
      <t>)</t>
    </r>
  </si>
  <si>
    <r>
      <t>Net emissions of carbon dioxide              (t CO</t>
    </r>
    <r>
      <rPr>
        <b/>
        <vertAlign val="subscript"/>
        <sz val="10"/>
        <rFont val="Arial"/>
        <family val="2"/>
      </rPr>
      <t>2</t>
    </r>
    <r>
      <rPr>
        <b/>
        <sz val="10"/>
        <rFont val="Arial"/>
        <family val="2"/>
      </rPr>
      <t xml:space="preserve"> </t>
    </r>
    <r>
      <rPr>
        <b/>
        <vertAlign val="subscript"/>
        <sz val="10"/>
        <rFont val="Arial"/>
        <family val="2"/>
      </rPr>
      <t>eq</t>
    </r>
    <r>
      <rPr>
        <b/>
        <sz val="10"/>
        <rFont val="Arial"/>
        <family val="2"/>
      </rPr>
      <t>.)</t>
    </r>
  </si>
  <si>
    <r>
      <t>Carbon accumulation up to time of restoration (tCO</t>
    </r>
    <r>
      <rPr>
        <vertAlign val="subscript"/>
        <sz val="10"/>
        <rFont val="Arial"/>
        <family val="2"/>
      </rPr>
      <t>2</t>
    </r>
    <r>
      <rPr>
        <sz val="10"/>
        <rFont val="Arial"/>
        <family val="0"/>
      </rPr>
      <t xml:space="preserve"> eq. </t>
    </r>
    <r>
      <rPr>
        <sz val="10"/>
        <rFont val="Arial"/>
        <family val="2"/>
      </rPr>
      <t>ha</t>
    </r>
    <r>
      <rPr>
        <vertAlign val="superscript"/>
        <sz val="10"/>
        <rFont val="Arial"/>
        <family val="2"/>
      </rPr>
      <t>-1</t>
    </r>
    <r>
      <rPr>
        <sz val="10"/>
        <rFont val="Arial"/>
        <family val="0"/>
      </rPr>
      <t>)</t>
    </r>
  </si>
  <si>
    <t>This spreadsheet calculates payback time for windfarm sited on peatlands using methods given in Nayak et al, 2008 (final report)</t>
  </si>
  <si>
    <t xml:space="preserve">Full Carbon Calculator for Wind Farms on Peatlands - Version 1 </t>
  </si>
  <si>
    <t>BMT Cordah 200m hydrology change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</si>
</sst>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0"/>
    <numFmt numFmtId="175" formatCode="0.00000"/>
    <numFmt numFmtId="176" formatCode="0.000000000000000"/>
    <numFmt numFmtId="177" formatCode="&quot;Yes&quot;;&quot;Yes&quot;;&quot;No&quot;"/>
    <numFmt numFmtId="178" formatCode="&quot;True&quot;;&quot;True&quot;;&quot;False&quot;"/>
    <numFmt numFmtId="179" formatCode="&quot;On&quot;;&quot;On&quot;;&quot;Off&quot;"/>
    <numFmt numFmtId="180" formatCode="[$€-2]\ #,##0.00_);[Red]\([$€-2]\ #,##0.00\)"/>
  </numFmts>
  <fonts count="33">
    <font>
      <sz val="10"/>
      <name val="Arial"/>
      <family val="0"/>
    </font>
    <font>
      <sz val="8"/>
      <name val="Arial"/>
      <family val="0"/>
    </font>
    <font>
      <vertAlign val="superscript"/>
      <sz val="10"/>
      <name val="Arial"/>
      <family val="2"/>
    </font>
    <font>
      <b/>
      <sz val="10"/>
      <name val="Arial"/>
      <family val="2"/>
    </font>
    <font>
      <u val="single"/>
      <sz val="10"/>
      <color indexed="12"/>
      <name val="Arial"/>
      <family val="0"/>
    </font>
    <font>
      <u val="single"/>
      <sz val="10"/>
      <color indexed="36"/>
      <name val="Arial"/>
      <family val="0"/>
    </font>
    <font>
      <sz val="8"/>
      <name val="Tahoma"/>
      <family val="0"/>
    </font>
    <font>
      <b/>
      <vertAlign val="superscript"/>
      <sz val="10"/>
      <name val="Arial"/>
      <family val="0"/>
    </font>
    <font>
      <b/>
      <vertAlign val="subscript"/>
      <sz val="10"/>
      <name val="Arial"/>
      <family val="2"/>
    </font>
    <font>
      <vertAlign val="subscript"/>
      <sz val="10"/>
      <name val="Arial"/>
      <family val="2"/>
    </font>
    <font>
      <sz val="10"/>
      <name val="Comic Sans MS"/>
      <family val="4"/>
    </font>
    <font>
      <b/>
      <sz val="10"/>
      <name val="Comic Sans MS"/>
      <family val="4"/>
    </font>
    <font>
      <u val="single"/>
      <sz val="12"/>
      <name val="Comic Sans MS"/>
      <family val="4"/>
    </font>
    <font>
      <vertAlign val="subscript"/>
      <sz val="10"/>
      <name val="Comic Sans MS"/>
      <family val="4"/>
    </font>
    <font>
      <b/>
      <sz val="8"/>
      <name val="Arial"/>
      <family val="2"/>
    </font>
    <font>
      <u val="single"/>
      <sz val="10"/>
      <name val="Arial"/>
      <family val="0"/>
    </font>
    <font>
      <vertAlign val="superscript"/>
      <sz val="8"/>
      <name val="Arial"/>
      <family val="2"/>
    </font>
    <font>
      <i/>
      <sz val="8"/>
      <name val="Arial"/>
      <family val="0"/>
    </font>
    <font>
      <u val="single"/>
      <sz val="8"/>
      <name val="Arial"/>
      <family val="2"/>
    </font>
    <font>
      <vertAlign val="subscript"/>
      <sz val="8"/>
      <name val="Arial"/>
      <family val="2"/>
    </font>
    <font>
      <sz val="6"/>
      <name val="Arial"/>
      <family val="2"/>
    </font>
    <font>
      <b/>
      <u val="single"/>
      <sz val="10"/>
      <name val="Arial"/>
      <family val="2"/>
    </font>
    <font>
      <sz val="10"/>
      <color indexed="22"/>
      <name val="Arial"/>
      <family val="0"/>
    </font>
    <font>
      <sz val="10"/>
      <color indexed="55"/>
      <name val="Arial"/>
      <family val="2"/>
    </font>
    <font>
      <b/>
      <sz val="10"/>
      <color indexed="55"/>
      <name val="Arial"/>
      <family val="2"/>
    </font>
    <font>
      <strike/>
      <sz val="10"/>
      <name val="Arial"/>
      <family val="2"/>
    </font>
    <font>
      <i/>
      <sz val="10"/>
      <name val="Arial"/>
      <family val="2"/>
    </font>
    <font>
      <b/>
      <u val="single"/>
      <vertAlign val="subscript"/>
      <sz val="10"/>
      <name val="Arial"/>
      <family val="2"/>
    </font>
    <font>
      <sz val="8.25"/>
      <name val="Arial"/>
      <family val="2"/>
    </font>
    <font>
      <vertAlign val="subscript"/>
      <sz val="8.25"/>
      <name val="Arial"/>
      <family val="2"/>
    </font>
    <font>
      <u val="single"/>
      <sz val="14"/>
      <name val="Comic Sans MS"/>
      <family val="4"/>
    </font>
    <font>
      <sz val="8"/>
      <name val="Comic Sans MS"/>
      <family val="4"/>
    </font>
    <font>
      <b/>
      <sz val="10"/>
      <color indexed="10"/>
      <name val="Arial"/>
      <family val="2"/>
    </font>
  </fonts>
  <fills count="11">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46"/>
        <bgColor indexed="64"/>
      </patternFill>
    </fill>
    <fill>
      <patternFill patternType="solid">
        <fgColor indexed="50"/>
        <bgColor indexed="64"/>
      </patternFill>
    </fill>
    <fill>
      <patternFill patternType="solid">
        <fgColor indexed="10"/>
        <bgColor indexed="64"/>
      </patternFill>
    </fill>
  </fills>
  <borders count="6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style="thin"/>
      <top style="thin"/>
      <bottom>
        <color indexed="63"/>
      </bottom>
    </border>
    <border>
      <left style="thin"/>
      <right style="medium"/>
      <top style="medium"/>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style="thin"/>
      <top style="medium"/>
      <bottom>
        <color indexed="63"/>
      </bottom>
    </border>
    <border>
      <left>
        <color indexed="63"/>
      </left>
      <right style="thin"/>
      <top style="thin"/>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medium"/>
    </border>
    <border>
      <left style="medium"/>
      <right>
        <color indexed="63"/>
      </right>
      <top>
        <color indexed="63"/>
      </top>
      <bottom style="medium"/>
    </border>
    <border>
      <left style="thin"/>
      <right style="medium"/>
      <top>
        <color indexed="63"/>
      </top>
      <bottom style="medium"/>
    </border>
    <border>
      <left style="medium"/>
      <right style="thin"/>
      <top style="medium"/>
      <bottom style="medium"/>
    </border>
    <border>
      <left>
        <color indexed="63"/>
      </left>
      <right>
        <color indexed="63"/>
      </right>
      <top>
        <color indexed="63"/>
      </top>
      <bottom style="medium"/>
    </border>
    <border>
      <left style="double"/>
      <right style="thin"/>
      <top>
        <color indexed="63"/>
      </top>
      <bottom style="thin"/>
    </border>
    <border>
      <left style="double"/>
      <right style="thin"/>
      <top>
        <color indexed="63"/>
      </top>
      <bottom>
        <color indexed="63"/>
      </bottom>
    </border>
    <border>
      <left style="double"/>
      <right style="thin"/>
      <top style="thin"/>
      <bottom style="thin"/>
    </border>
    <border>
      <left style="thin"/>
      <right>
        <color indexed="63"/>
      </right>
      <top style="thin"/>
      <bottom style="thin"/>
    </border>
    <border>
      <left>
        <color indexed="63"/>
      </left>
      <right>
        <color indexed="63"/>
      </right>
      <top style="medium"/>
      <bottom>
        <color indexed="63"/>
      </bottom>
    </border>
    <border>
      <left style="double"/>
      <right style="thin"/>
      <top style="thin"/>
      <bottom>
        <color indexed="63"/>
      </bottom>
    </border>
    <border>
      <left style="thin"/>
      <right>
        <color indexed="63"/>
      </right>
      <top>
        <color indexed="63"/>
      </top>
      <bottom style="medium"/>
    </border>
    <border>
      <left style="medium"/>
      <right style="thin"/>
      <top>
        <color indexed="63"/>
      </top>
      <bottom style="thin"/>
    </border>
    <border>
      <left style="medium"/>
      <right style="thin"/>
      <top style="thin"/>
      <bottom style="medium"/>
    </border>
    <border>
      <left style="thin"/>
      <right style="thin"/>
      <top>
        <color indexed="63"/>
      </top>
      <bottom style="medium"/>
    </border>
    <border>
      <left style="medium"/>
      <right style="medium"/>
      <top style="medium"/>
      <bottom>
        <color indexed="63"/>
      </bottom>
    </border>
    <border>
      <left style="thin"/>
      <right>
        <color indexed="63"/>
      </right>
      <top style="medium"/>
      <bottom>
        <color indexed="63"/>
      </bottom>
    </border>
    <border>
      <left style="thin"/>
      <right style="medium"/>
      <top style="thin"/>
      <bottom style="medium"/>
    </border>
    <border>
      <left style="thin"/>
      <right style="medium"/>
      <top>
        <color indexed="63"/>
      </top>
      <bottom style="thin"/>
    </border>
    <border>
      <left style="thin"/>
      <right style="medium"/>
      <top style="medium"/>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thin"/>
      <bottom style="thin"/>
    </border>
    <border>
      <left style="thin"/>
      <right style="thin"/>
      <top style="medium"/>
      <bottom>
        <color indexed="63"/>
      </bottom>
    </border>
    <border>
      <left style="medium"/>
      <right>
        <color indexed="63"/>
      </right>
      <top>
        <color indexed="63"/>
      </top>
      <bottom style="thin"/>
    </border>
    <border>
      <left style="medium"/>
      <right style="medium"/>
      <top>
        <color indexed="63"/>
      </top>
      <bottom style="medium"/>
    </border>
    <border>
      <left style="double"/>
      <right>
        <color indexed="63"/>
      </right>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style="double"/>
      <top>
        <color indexed="63"/>
      </top>
      <bottom style="thin"/>
    </border>
    <border>
      <left style="double"/>
      <right>
        <color indexed="63"/>
      </right>
      <top style="thin"/>
      <bottom style="thin"/>
    </border>
    <border>
      <left style="medium"/>
      <right>
        <color indexed="63"/>
      </right>
      <top style="medium"/>
      <bottom style="thin"/>
    </border>
    <border>
      <left>
        <color indexed="63"/>
      </left>
      <right style="medium"/>
      <top style="medium"/>
      <bottom style="thin"/>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98">
    <xf numFmtId="0" fontId="0" fillId="0" borderId="0" xfId="0" applyAlignment="1">
      <alignment/>
    </xf>
    <xf numFmtId="0" fontId="0" fillId="2" borderId="1" xfId="0" applyFill="1" applyBorder="1" applyAlignment="1">
      <alignment/>
    </xf>
    <xf numFmtId="0" fontId="0" fillId="2" borderId="1" xfId="0" applyFill="1" applyBorder="1" applyAlignment="1">
      <alignment horizontal="center"/>
    </xf>
    <xf numFmtId="0" fontId="0" fillId="2" borderId="2" xfId="0" applyFill="1" applyBorder="1" applyAlignment="1">
      <alignment/>
    </xf>
    <xf numFmtId="0" fontId="0" fillId="2" borderId="2" xfId="0" applyFill="1" applyBorder="1" applyAlignment="1">
      <alignment horizontal="center"/>
    </xf>
    <xf numFmtId="0" fontId="0" fillId="2" borderId="3" xfId="0" applyFill="1" applyBorder="1" applyAlignment="1">
      <alignment/>
    </xf>
    <xf numFmtId="0" fontId="0" fillId="2" borderId="3" xfId="0" applyFill="1" applyBorder="1" applyAlignment="1">
      <alignment horizontal="center"/>
    </xf>
    <xf numFmtId="0" fontId="0" fillId="2" borderId="4" xfId="0" applyFill="1" applyBorder="1" applyAlignment="1">
      <alignment/>
    </xf>
    <xf numFmtId="0" fontId="0" fillId="2" borderId="4" xfId="0" applyFill="1" applyBorder="1" applyAlignment="1">
      <alignment horizontal="center"/>
    </xf>
    <xf numFmtId="0" fontId="3" fillId="2" borderId="2" xfId="0" applyFont="1" applyFill="1" applyBorder="1" applyAlignment="1">
      <alignment/>
    </xf>
    <xf numFmtId="0" fontId="0" fillId="2" borderId="5" xfId="0" applyFill="1" applyBorder="1" applyAlignment="1">
      <alignment/>
    </xf>
    <xf numFmtId="0" fontId="0" fillId="2" borderId="6" xfId="0" applyFill="1" applyBorder="1" applyAlignment="1">
      <alignment/>
    </xf>
    <xf numFmtId="0" fontId="12" fillId="3" borderId="7" xfId="0" applyFont="1" applyFill="1" applyBorder="1" applyAlignment="1">
      <alignment horizontal="center"/>
    </xf>
    <xf numFmtId="0" fontId="12" fillId="3" borderId="0" xfId="0" applyFont="1" applyFill="1" applyBorder="1" applyAlignment="1">
      <alignment horizontal="center"/>
    </xf>
    <xf numFmtId="0" fontId="12" fillId="3" borderId="8" xfId="0" applyFont="1" applyFill="1" applyBorder="1" applyAlignment="1">
      <alignment horizontal="center"/>
    </xf>
    <xf numFmtId="0" fontId="11" fillId="3" borderId="7" xfId="0" applyFont="1" applyFill="1" applyBorder="1" applyAlignment="1">
      <alignment horizontal="center"/>
    </xf>
    <xf numFmtId="0" fontId="10" fillId="3" borderId="0" xfId="0" applyFont="1" applyFill="1" applyBorder="1" applyAlignment="1">
      <alignment/>
    </xf>
    <xf numFmtId="0" fontId="10" fillId="3" borderId="8" xfId="0" applyFont="1" applyFill="1" applyBorder="1" applyAlignment="1">
      <alignment/>
    </xf>
    <xf numFmtId="0" fontId="11" fillId="3" borderId="9" xfId="0" applyFont="1" applyFill="1" applyBorder="1" applyAlignment="1">
      <alignment horizontal="center"/>
    </xf>
    <xf numFmtId="0" fontId="11" fillId="3" borderId="7" xfId="0" applyFont="1" applyFill="1" applyBorder="1" applyAlignment="1">
      <alignment/>
    </xf>
    <xf numFmtId="0" fontId="10" fillId="3" borderId="7" xfId="0" applyFont="1" applyFill="1" applyBorder="1" applyAlignment="1">
      <alignment/>
    </xf>
    <xf numFmtId="0" fontId="10" fillId="3" borderId="10" xfId="0" applyFont="1" applyFill="1" applyBorder="1" applyAlignment="1">
      <alignment/>
    </xf>
    <xf numFmtId="0" fontId="10" fillId="3" borderId="0" xfId="0" applyFont="1" applyFill="1" applyAlignment="1">
      <alignment/>
    </xf>
    <xf numFmtId="0" fontId="10" fillId="2" borderId="0" xfId="0" applyFont="1" applyFill="1" applyAlignment="1">
      <alignment/>
    </xf>
    <xf numFmtId="0" fontId="0" fillId="2" borderId="0" xfId="0" applyFill="1" applyAlignment="1">
      <alignment/>
    </xf>
    <xf numFmtId="0" fontId="0" fillId="2" borderId="0" xfId="0" applyFill="1" applyAlignment="1">
      <alignment horizontal="center"/>
    </xf>
    <xf numFmtId="0" fontId="3" fillId="2" borderId="0" xfId="0" applyFont="1" applyFill="1" applyAlignment="1">
      <alignment/>
    </xf>
    <xf numFmtId="0" fontId="3" fillId="2" borderId="11" xfId="0" applyFont="1" applyFill="1" applyBorder="1" applyAlignment="1">
      <alignment/>
    </xf>
    <xf numFmtId="0" fontId="3" fillId="2" borderId="12" xfId="0" applyFont="1" applyFill="1" applyBorder="1" applyAlignment="1">
      <alignment horizontal="center"/>
    </xf>
    <xf numFmtId="0" fontId="0" fillId="2" borderId="0" xfId="0" applyFill="1" applyAlignment="1">
      <alignment shrinkToFit="1"/>
    </xf>
    <xf numFmtId="0" fontId="3" fillId="2" borderId="2" xfId="0" applyFont="1" applyFill="1" applyBorder="1" applyAlignment="1">
      <alignment horizontal="center"/>
    </xf>
    <xf numFmtId="0" fontId="1" fillId="3" borderId="7" xfId="0" applyFont="1" applyFill="1" applyBorder="1" applyAlignment="1">
      <alignment/>
    </xf>
    <xf numFmtId="0" fontId="1" fillId="3" borderId="0" xfId="0" applyFont="1" applyFill="1" applyBorder="1" applyAlignment="1">
      <alignment/>
    </xf>
    <xf numFmtId="0" fontId="1" fillId="3" borderId="8" xfId="0" applyFont="1" applyFill="1" applyBorder="1" applyAlignment="1">
      <alignment/>
    </xf>
    <xf numFmtId="0" fontId="0" fillId="2" borderId="7" xfId="0" applyFill="1" applyBorder="1" applyAlignment="1">
      <alignment/>
    </xf>
    <xf numFmtId="1" fontId="0" fillId="2" borderId="2" xfId="0" applyNumberFormat="1" applyFill="1" applyBorder="1" applyAlignment="1">
      <alignment horizontal="center"/>
    </xf>
    <xf numFmtId="1" fontId="0" fillId="2" borderId="4" xfId="0" applyNumberFormat="1" applyFill="1" applyBorder="1" applyAlignment="1">
      <alignment horizontal="center"/>
    </xf>
    <xf numFmtId="0" fontId="3" fillId="2" borderId="1" xfId="0" applyFont="1" applyFill="1" applyBorder="1" applyAlignment="1">
      <alignment horizontal="center"/>
    </xf>
    <xf numFmtId="0" fontId="0" fillId="2" borderId="1" xfId="0" applyFill="1" applyBorder="1" applyAlignment="1">
      <alignment wrapText="1"/>
    </xf>
    <xf numFmtId="0" fontId="0" fillId="2" borderId="2" xfId="0" applyFill="1" applyBorder="1" applyAlignment="1">
      <alignment horizontal="center" vertical="center"/>
    </xf>
    <xf numFmtId="0" fontId="3" fillId="2" borderId="13" xfId="0" applyFont="1" applyFill="1" applyBorder="1" applyAlignment="1">
      <alignment horizontal="center"/>
    </xf>
    <xf numFmtId="0" fontId="0" fillId="2" borderId="14" xfId="0" applyFont="1" applyFill="1" applyBorder="1" applyAlignment="1">
      <alignment/>
    </xf>
    <xf numFmtId="0" fontId="0" fillId="2" borderId="6" xfId="0" applyFont="1" applyFill="1" applyBorder="1" applyAlignment="1">
      <alignment/>
    </xf>
    <xf numFmtId="0" fontId="3" fillId="2" borderId="15" xfId="0" applyFont="1" applyFill="1" applyBorder="1" applyAlignment="1">
      <alignment horizontal="center" wrapText="1"/>
    </xf>
    <xf numFmtId="0" fontId="0" fillId="2" borderId="3" xfId="0" applyFill="1" applyBorder="1" applyAlignment="1">
      <alignment wrapText="1"/>
    </xf>
    <xf numFmtId="0" fontId="0" fillId="2" borderId="9" xfId="0" applyFill="1" applyBorder="1" applyAlignment="1">
      <alignment/>
    </xf>
    <xf numFmtId="1" fontId="0" fillId="2" borderId="2" xfId="0" applyNumberFormat="1" applyFill="1" applyBorder="1" applyAlignment="1">
      <alignment horizontal="center" vertical="center"/>
    </xf>
    <xf numFmtId="1" fontId="0" fillId="2" borderId="3" xfId="0" applyNumberFormat="1" applyFill="1" applyBorder="1" applyAlignment="1">
      <alignment horizontal="center" vertical="center"/>
    </xf>
    <xf numFmtId="1" fontId="3" fillId="2" borderId="16" xfId="0" applyNumberFormat="1" applyFont="1" applyFill="1" applyBorder="1" applyAlignment="1">
      <alignment horizontal="center"/>
    </xf>
    <xf numFmtId="0" fontId="0" fillId="2" borderId="15" xfId="0" applyFont="1" applyFill="1" applyBorder="1" applyAlignment="1">
      <alignment horizontal="center" wrapText="1"/>
    </xf>
    <xf numFmtId="0" fontId="3" fillId="2" borderId="17" xfId="0" applyFont="1" applyFill="1" applyBorder="1" applyAlignment="1">
      <alignment/>
    </xf>
    <xf numFmtId="0" fontId="3" fillId="2" borderId="2" xfId="0" applyFont="1" applyFill="1" applyBorder="1" applyAlignment="1">
      <alignment horizontal="center" wrapText="1"/>
    </xf>
    <xf numFmtId="0" fontId="0" fillId="2" borderId="4" xfId="0" applyFill="1" applyBorder="1" applyAlignment="1">
      <alignment wrapText="1"/>
    </xf>
    <xf numFmtId="0" fontId="0" fillId="2" borderId="3" xfId="0" applyFont="1" applyFill="1" applyBorder="1" applyAlignment="1">
      <alignment/>
    </xf>
    <xf numFmtId="0" fontId="3" fillId="2" borderId="0" xfId="0" applyFont="1" applyFill="1" applyAlignment="1">
      <alignment vertical="center"/>
    </xf>
    <xf numFmtId="2" fontId="3" fillId="2" borderId="0" xfId="0" applyNumberFormat="1" applyFont="1" applyFill="1" applyAlignment="1">
      <alignment vertical="center"/>
    </xf>
    <xf numFmtId="0" fontId="0" fillId="2" borderId="0" xfId="0" applyFill="1" applyAlignment="1">
      <alignment vertical="center"/>
    </xf>
    <xf numFmtId="2" fontId="3" fillId="3" borderId="17" xfId="0" applyNumberFormat="1" applyFont="1" applyFill="1" applyBorder="1" applyAlignment="1">
      <alignment vertical="center"/>
    </xf>
    <xf numFmtId="0" fontId="0" fillId="3" borderId="18" xfId="0" applyFill="1" applyBorder="1" applyAlignment="1">
      <alignment vertical="center"/>
    </xf>
    <xf numFmtId="0" fontId="0" fillId="2" borderId="7" xfId="0" applyFill="1" applyBorder="1" applyAlignment="1">
      <alignment vertical="center"/>
    </xf>
    <xf numFmtId="0" fontId="0" fillId="2" borderId="0" xfId="0" applyFill="1" applyBorder="1" applyAlignment="1">
      <alignment vertical="center"/>
    </xf>
    <xf numFmtId="0" fontId="1" fillId="3" borderId="7" xfId="0" applyFont="1" applyFill="1" applyBorder="1" applyAlignment="1">
      <alignment vertical="center"/>
    </xf>
    <xf numFmtId="0" fontId="1" fillId="3" borderId="0" xfId="0" applyFont="1" applyFill="1" applyBorder="1" applyAlignment="1">
      <alignment vertical="center"/>
    </xf>
    <xf numFmtId="0" fontId="1" fillId="2" borderId="7" xfId="0" applyFont="1" applyFill="1" applyBorder="1" applyAlignment="1">
      <alignment vertical="center"/>
    </xf>
    <xf numFmtId="2" fontId="1" fillId="3" borderId="7" xfId="0" applyNumberFormat="1" applyFont="1" applyFill="1" applyBorder="1" applyAlignment="1">
      <alignment vertical="center"/>
    </xf>
    <xf numFmtId="2" fontId="0" fillId="3" borderId="9" xfId="0" applyNumberFormat="1" applyFill="1" applyBorder="1" applyAlignment="1">
      <alignment vertical="center"/>
    </xf>
    <xf numFmtId="0" fontId="0" fillId="3" borderId="10" xfId="0" applyFill="1" applyBorder="1" applyAlignment="1">
      <alignment vertical="center"/>
    </xf>
    <xf numFmtId="2" fontId="0" fillId="2" borderId="0" xfId="0" applyNumberFormat="1" applyFill="1" applyAlignment="1">
      <alignment vertical="center"/>
    </xf>
    <xf numFmtId="0" fontId="3" fillId="2" borderId="2" xfId="0" applyFont="1" applyFill="1" applyBorder="1" applyAlignment="1">
      <alignment horizontal="center" vertical="center" wrapText="1"/>
    </xf>
    <xf numFmtId="0" fontId="0" fillId="2" borderId="3" xfId="0" applyFill="1" applyBorder="1" applyAlignment="1">
      <alignment vertical="center"/>
    </xf>
    <xf numFmtId="0" fontId="0" fillId="2" borderId="3" xfId="0" applyFill="1" applyBorder="1" applyAlignment="1">
      <alignment vertical="center" wrapText="1"/>
    </xf>
    <xf numFmtId="0" fontId="0" fillId="2" borderId="4" xfId="0" applyFill="1" applyBorder="1" applyAlignment="1">
      <alignment vertical="center"/>
    </xf>
    <xf numFmtId="1" fontId="0" fillId="2" borderId="4" xfId="0" applyNumberFormat="1" applyFill="1" applyBorder="1" applyAlignment="1">
      <alignment horizontal="center" vertical="center"/>
    </xf>
    <xf numFmtId="0" fontId="0" fillId="2" borderId="4" xfId="0" applyFill="1" applyBorder="1" applyAlignment="1">
      <alignment vertical="center" wrapText="1"/>
    </xf>
    <xf numFmtId="0" fontId="3" fillId="2" borderId="2" xfId="0" applyFont="1" applyFill="1" applyBorder="1" applyAlignment="1">
      <alignment horizontal="center" vertical="center" wrapText="1"/>
    </xf>
    <xf numFmtId="0" fontId="0" fillId="2" borderId="3" xfId="0" applyFont="1" applyFill="1" applyBorder="1" applyAlignment="1">
      <alignment vertical="center"/>
    </xf>
    <xf numFmtId="0" fontId="0" fillId="2" borderId="5" xfId="0" applyFont="1" applyFill="1" applyBorder="1" applyAlignment="1">
      <alignment/>
    </xf>
    <xf numFmtId="1" fontId="0" fillId="2" borderId="19" xfId="0" applyNumberFormat="1" applyFont="1" applyFill="1" applyBorder="1" applyAlignment="1">
      <alignment horizontal="center"/>
    </xf>
    <xf numFmtId="0" fontId="0" fillId="3" borderId="20" xfId="0" applyFill="1" applyBorder="1" applyAlignment="1">
      <alignment vertical="center"/>
    </xf>
    <xf numFmtId="0" fontId="1" fillId="3" borderId="8" xfId="0" applyFont="1" applyFill="1" applyBorder="1" applyAlignment="1">
      <alignment vertical="center"/>
    </xf>
    <xf numFmtId="0" fontId="0" fillId="3" borderId="21" xfId="0" applyFill="1" applyBorder="1" applyAlignment="1">
      <alignment vertical="center"/>
    </xf>
    <xf numFmtId="0" fontId="3" fillId="2" borderId="4" xfId="0" applyFont="1" applyFill="1" applyBorder="1" applyAlignment="1">
      <alignment horizontal="center"/>
    </xf>
    <xf numFmtId="1" fontId="0" fillId="2" borderId="8" xfId="0" applyNumberFormat="1" applyFill="1" applyBorder="1" applyAlignment="1">
      <alignment horizontal="center" vertical="center"/>
    </xf>
    <xf numFmtId="1" fontId="0" fillId="2" borderId="1" xfId="0" applyNumberFormat="1" applyFill="1" applyBorder="1" applyAlignment="1">
      <alignment horizontal="center" vertical="center"/>
    </xf>
    <xf numFmtId="0" fontId="1" fillId="3" borderId="17" xfId="0" applyFont="1" applyFill="1" applyBorder="1" applyAlignment="1">
      <alignment horizontal="left" vertical="center"/>
    </xf>
    <xf numFmtId="0" fontId="1" fillId="3" borderId="18" xfId="0" applyFont="1" applyFill="1" applyBorder="1" applyAlignment="1">
      <alignment horizontal="left" vertical="center"/>
    </xf>
    <xf numFmtId="0" fontId="1" fillId="3" borderId="20" xfId="0" applyFont="1" applyFill="1" applyBorder="1" applyAlignment="1">
      <alignment horizontal="left" vertical="center"/>
    </xf>
    <xf numFmtId="0" fontId="1"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8" xfId="0" applyFont="1" applyFill="1" applyBorder="1" applyAlignment="1">
      <alignment horizontal="left" vertical="center"/>
    </xf>
    <xf numFmtId="0" fontId="1" fillId="3" borderId="9" xfId="0" applyFont="1" applyFill="1" applyBorder="1" applyAlignment="1">
      <alignment horizontal="left" vertical="center"/>
    </xf>
    <xf numFmtId="0" fontId="1" fillId="3" borderId="10" xfId="0" applyFont="1" applyFill="1" applyBorder="1" applyAlignment="1">
      <alignment horizontal="left" vertical="center"/>
    </xf>
    <xf numFmtId="0" fontId="1" fillId="3" borderId="21" xfId="0" applyFont="1" applyFill="1" applyBorder="1" applyAlignment="1">
      <alignment horizontal="left" vertical="center"/>
    </xf>
    <xf numFmtId="0" fontId="15" fillId="2" borderId="7" xfId="0" applyFont="1" applyFill="1" applyBorder="1" applyAlignment="1">
      <alignment/>
    </xf>
    <xf numFmtId="0" fontId="0" fillId="2" borderId="7" xfId="0" applyFont="1" applyFill="1" applyBorder="1" applyAlignment="1">
      <alignment/>
    </xf>
    <xf numFmtId="0" fontId="0" fillId="2" borderId="9" xfId="0" applyFont="1" applyFill="1" applyBorder="1" applyAlignment="1">
      <alignment/>
    </xf>
    <xf numFmtId="0" fontId="15" fillId="2" borderId="17" xfId="0" applyFont="1" applyFill="1" applyBorder="1" applyAlignment="1">
      <alignment/>
    </xf>
    <xf numFmtId="0" fontId="3" fillId="2" borderId="2" xfId="0" applyFont="1" applyFill="1" applyBorder="1" applyAlignment="1">
      <alignment vertical="center" wrapText="1"/>
    </xf>
    <xf numFmtId="0" fontId="0" fillId="2" borderId="1" xfId="0" applyFill="1" applyBorder="1" applyAlignment="1">
      <alignment vertical="center" wrapText="1"/>
    </xf>
    <xf numFmtId="2" fontId="0" fillId="2" borderId="1" xfId="0" applyNumberFormat="1" applyFill="1" applyBorder="1" applyAlignment="1">
      <alignment horizontal="center" vertical="center"/>
    </xf>
    <xf numFmtId="2" fontId="0" fillId="2" borderId="2" xfId="0" applyNumberFormat="1" applyFill="1" applyBorder="1" applyAlignment="1">
      <alignment horizontal="center" vertical="center"/>
    </xf>
    <xf numFmtId="0" fontId="3" fillId="2" borderId="1" xfId="0" applyFont="1" applyFill="1" applyBorder="1" applyAlignment="1">
      <alignment vertical="center" wrapText="1"/>
    </xf>
    <xf numFmtId="0" fontId="0" fillId="2" borderId="7" xfId="0" applyFill="1" applyBorder="1" applyAlignment="1">
      <alignment vertical="center" wrapText="1"/>
    </xf>
    <xf numFmtId="2" fontId="0" fillId="2" borderId="0" xfId="0" applyNumberFormat="1" applyFill="1" applyAlignment="1">
      <alignment horizontal="center" vertical="center"/>
    </xf>
    <xf numFmtId="2" fontId="0" fillId="2" borderId="0" xfId="0" applyNumberFormat="1" applyFill="1" applyBorder="1" applyAlignment="1">
      <alignment horizontal="center" vertical="center"/>
    </xf>
    <xf numFmtId="0" fontId="3" fillId="2" borderId="1" xfId="0" applyFont="1" applyFill="1" applyBorder="1" applyAlignment="1">
      <alignment vertical="center"/>
    </xf>
    <xf numFmtId="0" fontId="0" fillId="2" borderId="2" xfId="0" applyFill="1" applyBorder="1" applyAlignment="1">
      <alignment vertical="center"/>
    </xf>
    <xf numFmtId="1" fontId="0" fillId="2" borderId="0" xfId="0" applyNumberFormat="1" applyFill="1" applyBorder="1" applyAlignment="1">
      <alignment horizontal="center" vertical="center"/>
    </xf>
    <xf numFmtId="2" fontId="0" fillId="2" borderId="3" xfId="0" applyNumberFormat="1" applyFill="1" applyBorder="1" applyAlignment="1">
      <alignment horizontal="center" vertical="center"/>
    </xf>
    <xf numFmtId="1" fontId="0" fillId="2" borderId="21" xfId="0" applyNumberFormat="1" applyFill="1" applyBorder="1" applyAlignment="1">
      <alignment horizontal="center" vertical="center"/>
    </xf>
    <xf numFmtId="0" fontId="15" fillId="2" borderId="2" xfId="0" applyFont="1" applyFill="1" applyBorder="1" applyAlignment="1">
      <alignment vertical="center"/>
    </xf>
    <xf numFmtId="1" fontId="0" fillId="2" borderId="2" xfId="0" applyNumberFormat="1" applyFill="1" applyBorder="1" applyAlignment="1">
      <alignment vertical="center"/>
    </xf>
    <xf numFmtId="0" fontId="0" fillId="2" borderId="0" xfId="0" applyFill="1" applyBorder="1" applyAlignment="1">
      <alignment/>
    </xf>
    <xf numFmtId="1" fontId="0" fillId="2" borderId="0" xfId="0" applyNumberFormat="1" applyFill="1" applyBorder="1" applyAlignment="1">
      <alignment horizontal="center"/>
    </xf>
    <xf numFmtId="1" fontId="0" fillId="2" borderId="3" xfId="0" applyNumberFormat="1" applyFill="1" applyBorder="1" applyAlignment="1">
      <alignment horizontal="center"/>
    </xf>
    <xf numFmtId="1" fontId="0" fillId="2" borderId="1" xfId="0" applyNumberFormat="1" applyFill="1" applyBorder="1" applyAlignment="1">
      <alignment horizontal="center"/>
    </xf>
    <xf numFmtId="2" fontId="0" fillId="2" borderId="0" xfId="0" applyNumberFormat="1" applyFill="1" applyBorder="1" applyAlignment="1">
      <alignment vertical="center"/>
    </xf>
    <xf numFmtId="0" fontId="0" fillId="2" borderId="8" xfId="0" applyFill="1" applyBorder="1" applyAlignment="1">
      <alignment horizontal="center"/>
    </xf>
    <xf numFmtId="0" fontId="0" fillId="2" borderId="21" xfId="0" applyFill="1" applyBorder="1" applyAlignment="1">
      <alignment horizontal="center"/>
    </xf>
    <xf numFmtId="0" fontId="0" fillId="2" borderId="10" xfId="0" applyFill="1" applyBorder="1" applyAlignment="1">
      <alignment/>
    </xf>
    <xf numFmtId="0" fontId="3" fillId="2" borderId="2" xfId="0" applyFont="1" applyFill="1" applyBorder="1" applyAlignment="1">
      <alignment horizontal="center"/>
    </xf>
    <xf numFmtId="0" fontId="0" fillId="2" borderId="4" xfId="0" applyFont="1" applyFill="1" applyBorder="1" applyAlignment="1">
      <alignment/>
    </xf>
    <xf numFmtId="0" fontId="0" fillId="2" borderId="10" xfId="0" applyFill="1" applyBorder="1" applyAlignment="1">
      <alignment horizontal="center"/>
    </xf>
    <xf numFmtId="1" fontId="0" fillId="2" borderId="21" xfId="0" applyNumberFormat="1" applyFill="1" applyBorder="1" applyAlignment="1">
      <alignment horizontal="center"/>
    </xf>
    <xf numFmtId="1" fontId="0" fillId="2" borderId="8" xfId="0" applyNumberFormat="1" applyFill="1" applyBorder="1" applyAlignment="1">
      <alignment horizontal="center"/>
    </xf>
    <xf numFmtId="0" fontId="0" fillId="2" borderId="17" xfId="0" applyFill="1" applyBorder="1" applyAlignment="1">
      <alignment/>
    </xf>
    <xf numFmtId="1" fontId="3" fillId="2" borderId="12" xfId="0" applyNumberFormat="1" applyFont="1" applyFill="1" applyBorder="1" applyAlignment="1">
      <alignment horizontal="center"/>
    </xf>
    <xf numFmtId="1" fontId="3" fillId="2" borderId="22" xfId="0" applyNumberFormat="1" applyFont="1" applyFill="1" applyBorder="1" applyAlignment="1">
      <alignment horizontal="center"/>
    </xf>
    <xf numFmtId="1" fontId="3" fillId="2" borderId="23" xfId="0" applyNumberFormat="1" applyFont="1" applyFill="1" applyBorder="1" applyAlignment="1">
      <alignment horizontal="center"/>
    </xf>
    <xf numFmtId="0" fontId="3" fillId="2" borderId="13" xfId="0" applyFont="1" applyFill="1" applyBorder="1" applyAlignment="1">
      <alignment horizontal="center" vertical="center" wrapText="1"/>
    </xf>
    <xf numFmtId="2" fontId="3" fillId="2" borderId="15" xfId="0" applyNumberFormat="1" applyFont="1" applyFill="1" applyBorder="1" applyAlignment="1">
      <alignment horizontal="center" vertical="center" wrapText="1"/>
    </xf>
    <xf numFmtId="2" fontId="3" fillId="2" borderId="24" xfId="0" applyNumberFormat="1" applyFont="1" applyFill="1" applyBorder="1" applyAlignment="1">
      <alignment horizontal="center" vertical="center" wrapText="1"/>
    </xf>
    <xf numFmtId="0" fontId="3" fillId="2" borderId="25" xfId="0" applyFont="1" applyFill="1" applyBorder="1" applyAlignment="1">
      <alignment horizontal="center" vertical="center" wrapText="1"/>
    </xf>
    <xf numFmtId="2" fontId="0" fillId="2" borderId="6" xfId="0" applyNumberFormat="1" applyFill="1" applyBorder="1" applyAlignment="1">
      <alignment vertical="center"/>
    </xf>
    <xf numFmtId="1" fontId="0" fillId="2" borderId="23" xfId="0" applyNumberFormat="1" applyFont="1" applyFill="1" applyBorder="1" applyAlignment="1">
      <alignment horizontal="center"/>
    </xf>
    <xf numFmtId="1" fontId="0" fillId="2" borderId="22" xfId="0" applyNumberFormat="1" applyFont="1" applyFill="1" applyBorder="1" applyAlignment="1">
      <alignment horizontal="center"/>
    </xf>
    <xf numFmtId="0" fontId="0" fillId="2" borderId="24" xfId="0" applyFont="1" applyFill="1" applyBorder="1" applyAlignment="1">
      <alignment horizontal="center" wrapText="1"/>
    </xf>
    <xf numFmtId="0" fontId="3" fillId="2" borderId="25" xfId="0" applyFont="1" applyFill="1" applyBorder="1" applyAlignment="1">
      <alignment horizontal="center"/>
    </xf>
    <xf numFmtId="172" fontId="3" fillId="2" borderId="22" xfId="0" applyNumberFormat="1" applyFont="1" applyFill="1" applyBorder="1" applyAlignment="1">
      <alignment horizontal="center"/>
    </xf>
    <xf numFmtId="172" fontId="3" fillId="2" borderId="23" xfId="0" applyNumberFormat="1" applyFont="1" applyFill="1" applyBorder="1" applyAlignment="1">
      <alignment horizontal="center"/>
    </xf>
    <xf numFmtId="2" fontId="3" fillId="2" borderId="22" xfId="0" applyNumberFormat="1" applyFont="1" applyFill="1" applyBorder="1" applyAlignment="1">
      <alignment horizontal="center"/>
    </xf>
    <xf numFmtId="2" fontId="3" fillId="2" borderId="23" xfId="0" applyNumberFormat="1" applyFont="1" applyFill="1" applyBorder="1" applyAlignment="1">
      <alignment horizontal="center"/>
    </xf>
    <xf numFmtId="1" fontId="0" fillId="2" borderId="20" xfId="0" applyNumberFormat="1" applyFill="1" applyBorder="1" applyAlignment="1">
      <alignment horizontal="center"/>
    </xf>
    <xf numFmtId="0" fontId="0" fillId="2" borderId="14" xfId="0" applyFill="1" applyBorder="1" applyAlignment="1">
      <alignment/>
    </xf>
    <xf numFmtId="173" fontId="0" fillId="2" borderId="8" xfId="0" applyNumberFormat="1" applyFill="1" applyBorder="1" applyAlignment="1">
      <alignment horizontal="center" vertical="center"/>
    </xf>
    <xf numFmtId="173" fontId="0" fillId="2" borderId="3" xfId="0" applyNumberFormat="1" applyFill="1" applyBorder="1" applyAlignment="1">
      <alignment horizontal="center" vertical="center"/>
    </xf>
    <xf numFmtId="1" fontId="0" fillId="2" borderId="22" xfId="0" applyNumberFormat="1" applyFill="1" applyBorder="1" applyAlignment="1">
      <alignment horizontal="center"/>
    </xf>
    <xf numFmtId="0" fontId="3" fillId="4" borderId="25" xfId="0" applyFont="1" applyFill="1" applyBorder="1" applyAlignment="1">
      <alignment/>
    </xf>
    <xf numFmtId="0" fontId="3" fillId="4" borderId="5" xfId="0" applyFont="1" applyFill="1" applyBorder="1" applyAlignment="1">
      <alignment/>
    </xf>
    <xf numFmtId="0" fontId="3" fillId="4" borderId="6" xfId="0" applyFont="1" applyFill="1" applyBorder="1" applyAlignment="1">
      <alignment/>
    </xf>
    <xf numFmtId="0" fontId="3" fillId="4" borderId="24" xfId="0" applyFont="1" applyFill="1" applyBorder="1" applyAlignment="1">
      <alignment horizontal="center" vertical="center" wrapText="1"/>
    </xf>
    <xf numFmtId="0" fontId="0" fillId="2" borderId="26" xfId="0" applyFont="1" applyFill="1" applyBorder="1" applyAlignment="1">
      <alignment horizontal="center" wrapText="1"/>
    </xf>
    <xf numFmtId="0" fontId="0" fillId="2" borderId="4" xfId="0" applyFont="1" applyFill="1" applyBorder="1" applyAlignment="1">
      <alignment horizontal="center" wrapText="1"/>
    </xf>
    <xf numFmtId="0" fontId="0" fillId="2" borderId="1" xfId="0" applyFont="1" applyFill="1" applyBorder="1" applyAlignment="1">
      <alignment horizontal="center" wrapText="1"/>
    </xf>
    <xf numFmtId="0" fontId="0" fillId="2" borderId="3" xfId="0" applyFont="1" applyFill="1" applyBorder="1" applyAlignment="1">
      <alignment horizontal="left"/>
    </xf>
    <xf numFmtId="0" fontId="0" fillId="2" borderId="20" xfId="0" applyFont="1" applyFill="1" applyBorder="1" applyAlignment="1">
      <alignment horizontal="center"/>
    </xf>
    <xf numFmtId="0" fontId="0" fillId="2" borderId="27" xfId="0" applyFill="1" applyBorder="1" applyAlignment="1">
      <alignment/>
    </xf>
    <xf numFmtId="0" fontId="3" fillId="2" borderId="27" xfId="0" applyFont="1" applyFill="1" applyBorder="1" applyAlignment="1">
      <alignment wrapText="1"/>
    </xf>
    <xf numFmtId="0" fontId="0" fillId="2" borderId="28" xfId="0" applyFill="1" applyBorder="1" applyAlignment="1">
      <alignment/>
    </xf>
    <xf numFmtId="0" fontId="0" fillId="2" borderId="29" xfId="0" applyFill="1" applyBorder="1" applyAlignment="1">
      <alignment/>
    </xf>
    <xf numFmtId="0" fontId="3" fillId="2" borderId="6" xfId="0" applyFont="1" applyFill="1" applyBorder="1" applyAlignment="1">
      <alignment wrapText="1"/>
    </xf>
    <xf numFmtId="0" fontId="0" fillId="2" borderId="27" xfId="0" applyFont="1" applyFill="1" applyBorder="1" applyAlignment="1">
      <alignment/>
    </xf>
    <xf numFmtId="0" fontId="3" fillId="2" borderId="5" xfId="0" applyFont="1" applyFill="1" applyBorder="1" applyAlignment="1">
      <alignment wrapText="1"/>
    </xf>
    <xf numFmtId="0" fontId="0" fillId="2" borderId="30" xfId="0" applyFill="1" applyBorder="1" applyAlignment="1">
      <alignment vertical="center" wrapText="1"/>
    </xf>
    <xf numFmtId="0" fontId="0" fillId="2" borderId="31" xfId="0" applyFill="1" applyBorder="1" applyAlignment="1">
      <alignment vertical="center"/>
    </xf>
    <xf numFmtId="0" fontId="3" fillId="2" borderId="32" xfId="0" applyFont="1" applyFill="1" applyBorder="1" applyAlignment="1">
      <alignment/>
    </xf>
    <xf numFmtId="0" fontId="3" fillId="2" borderId="1" xfId="0" applyFont="1" applyFill="1" applyBorder="1" applyAlignment="1">
      <alignment/>
    </xf>
    <xf numFmtId="1" fontId="0" fillId="2" borderId="26" xfId="0" applyNumberForma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3" fillId="2" borderId="13" xfId="0" applyFont="1" applyFill="1" applyBorder="1" applyAlignment="1">
      <alignment wrapText="1"/>
    </xf>
    <xf numFmtId="0" fontId="0" fillId="2" borderId="33" xfId="0" applyFill="1" applyBorder="1" applyAlignment="1">
      <alignment/>
    </xf>
    <xf numFmtId="0" fontId="0" fillId="2" borderId="30" xfId="0" applyFill="1" applyBorder="1" applyAlignment="1">
      <alignment/>
    </xf>
    <xf numFmtId="0" fontId="0" fillId="2" borderId="34" xfId="0" applyFont="1" applyFill="1" applyBorder="1" applyAlignment="1">
      <alignment horizontal="center" wrapText="1"/>
    </xf>
    <xf numFmtId="173" fontId="0" fillId="2" borderId="35" xfId="0" applyNumberFormat="1" applyFill="1" applyBorder="1" applyAlignment="1">
      <alignment horizontal="center" vertical="center"/>
    </xf>
    <xf numFmtId="173" fontId="0" fillId="2" borderId="36" xfId="0" applyNumberFormat="1" applyFill="1" applyBorder="1" applyAlignment="1">
      <alignment horizontal="center" vertical="center"/>
    </xf>
    <xf numFmtId="173" fontId="3" fillId="4" borderId="22" xfId="0" applyNumberFormat="1" applyFont="1" applyFill="1" applyBorder="1" applyAlignment="1">
      <alignment horizontal="center"/>
    </xf>
    <xf numFmtId="0" fontId="0" fillId="2" borderId="2" xfId="0" applyFont="1" applyFill="1" applyBorder="1" applyAlignment="1">
      <alignment horizontal="center" wrapText="1"/>
    </xf>
    <xf numFmtId="1" fontId="0" fillId="2" borderId="37" xfId="0" applyNumberFormat="1" applyFill="1" applyBorder="1" applyAlignment="1">
      <alignment horizontal="center"/>
    </xf>
    <xf numFmtId="173" fontId="0" fillId="2" borderId="36" xfId="0" applyNumberFormat="1" applyFill="1" applyBorder="1" applyAlignment="1">
      <alignment horizontal="center"/>
    </xf>
    <xf numFmtId="0" fontId="1" fillId="2" borderId="7" xfId="0" applyFont="1" applyFill="1" applyBorder="1" applyAlignment="1">
      <alignment horizontal="left" vertical="center"/>
    </xf>
    <xf numFmtId="0" fontId="1" fillId="2" borderId="0" xfId="0" applyFont="1" applyFill="1" applyBorder="1" applyAlignment="1">
      <alignment horizontal="left" vertical="center"/>
    </xf>
    <xf numFmtId="0" fontId="1" fillId="2" borderId="7" xfId="0" applyFont="1" applyFill="1" applyBorder="1" applyAlignment="1">
      <alignment horizontal="left" vertical="center" wrapText="1"/>
    </xf>
    <xf numFmtId="0" fontId="1" fillId="2" borderId="0" xfId="0" applyFont="1" applyFill="1" applyBorder="1" applyAlignment="1">
      <alignment horizontal="left" vertical="center" wrapText="1"/>
    </xf>
    <xf numFmtId="0" fontId="3" fillId="2" borderId="3" xfId="0" applyFont="1" applyFill="1" applyBorder="1" applyAlignment="1">
      <alignment horizontal="center"/>
    </xf>
    <xf numFmtId="0" fontId="9" fillId="2" borderId="0" xfId="0" applyFont="1" applyFill="1" applyBorder="1" applyAlignment="1">
      <alignment horizontal="center"/>
    </xf>
    <xf numFmtId="0" fontId="9" fillId="0" borderId="0" xfId="0" applyFont="1" applyBorder="1" applyAlignment="1">
      <alignment/>
    </xf>
    <xf numFmtId="0" fontId="9" fillId="2" borderId="0" xfId="0" applyFont="1" applyFill="1" applyBorder="1" applyAlignment="1">
      <alignment horizontal="center" wrapText="1"/>
    </xf>
    <xf numFmtId="173" fontId="9" fillId="2" borderId="0" xfId="0" applyNumberFormat="1" applyFont="1" applyFill="1" applyBorder="1" applyAlignment="1">
      <alignment horizontal="center" vertical="center"/>
    </xf>
    <xf numFmtId="173" fontId="9" fillId="2" borderId="0" xfId="0" applyNumberFormat="1" applyFont="1" applyFill="1" applyBorder="1" applyAlignment="1">
      <alignment horizontal="center"/>
    </xf>
    <xf numFmtId="0" fontId="9" fillId="2" borderId="0" xfId="0" applyFont="1" applyFill="1" applyBorder="1" applyAlignment="1">
      <alignment/>
    </xf>
    <xf numFmtId="1" fontId="9" fillId="2" borderId="0" xfId="0" applyNumberFormat="1" applyFont="1" applyFill="1" applyBorder="1" applyAlignment="1">
      <alignment horizontal="center"/>
    </xf>
    <xf numFmtId="0" fontId="3" fillId="2" borderId="38" xfId="0" applyFont="1" applyFill="1" applyBorder="1" applyAlignment="1">
      <alignment horizontal="left"/>
    </xf>
    <xf numFmtId="0" fontId="0" fillId="2" borderId="38" xfId="0" applyFont="1" applyFill="1" applyBorder="1" applyAlignment="1">
      <alignment horizontal="left"/>
    </xf>
    <xf numFmtId="0" fontId="3" fillId="2" borderId="13" xfId="0" applyFont="1" applyFill="1" applyBorder="1" applyAlignment="1">
      <alignment horizontal="left"/>
    </xf>
    <xf numFmtId="173" fontId="0" fillId="2" borderId="39" xfId="0" applyNumberFormat="1" applyFill="1" applyBorder="1" applyAlignment="1">
      <alignment horizontal="center" vertical="center"/>
    </xf>
    <xf numFmtId="173" fontId="0" fillId="2" borderId="34" xfId="0" applyNumberFormat="1" applyFill="1" applyBorder="1" applyAlignment="1">
      <alignment horizontal="center" vertical="center"/>
    </xf>
    <xf numFmtId="0" fontId="0" fillId="2" borderId="25" xfId="0" applyFill="1" applyBorder="1" applyAlignment="1">
      <alignment/>
    </xf>
    <xf numFmtId="0" fontId="0" fillId="5" borderId="40" xfId="0" applyFill="1" applyBorder="1" applyAlignment="1">
      <alignment horizontal="center" vertical="center"/>
    </xf>
    <xf numFmtId="173" fontId="3" fillId="4" borderId="23" xfId="0" applyNumberFormat="1" applyFont="1" applyFill="1" applyBorder="1" applyAlignment="1">
      <alignment horizontal="center"/>
    </xf>
    <xf numFmtId="0" fontId="21" fillId="2" borderId="0" xfId="0" applyFont="1" applyFill="1" applyBorder="1" applyAlignment="1">
      <alignment/>
    </xf>
    <xf numFmtId="0" fontId="3" fillId="2" borderId="33" xfId="0" applyFont="1" applyFill="1" applyBorder="1" applyAlignment="1">
      <alignment/>
    </xf>
    <xf numFmtId="1" fontId="0" fillId="2" borderId="0" xfId="0" applyNumberFormat="1" applyFill="1" applyBorder="1" applyAlignment="1">
      <alignment/>
    </xf>
    <xf numFmtId="0" fontId="3" fillId="2" borderId="0" xfId="0" applyFont="1" applyFill="1" applyBorder="1" applyAlignment="1">
      <alignment/>
    </xf>
    <xf numFmtId="0" fontId="3" fillId="2" borderId="6" xfId="0" applyFont="1" applyFill="1" applyBorder="1" applyAlignment="1">
      <alignment/>
    </xf>
    <xf numFmtId="0" fontId="0" fillId="2" borderId="25" xfId="0" applyFont="1" applyFill="1" applyBorder="1" applyAlignment="1">
      <alignment wrapText="1"/>
    </xf>
    <xf numFmtId="0" fontId="0" fillId="2" borderId="41" xfId="0" applyFont="1" applyFill="1" applyBorder="1" applyAlignment="1">
      <alignment wrapText="1"/>
    </xf>
    <xf numFmtId="0" fontId="0" fillId="2" borderId="13" xfId="0" applyFill="1" applyBorder="1" applyAlignment="1">
      <alignment/>
    </xf>
    <xf numFmtId="0" fontId="0" fillId="2" borderId="5" xfId="0" applyFont="1" applyFill="1" applyBorder="1" applyAlignment="1">
      <alignment wrapText="1"/>
    </xf>
    <xf numFmtId="0" fontId="3" fillId="2" borderId="42" xfId="0" applyFont="1" applyFill="1" applyBorder="1" applyAlignment="1">
      <alignment/>
    </xf>
    <xf numFmtId="0" fontId="10" fillId="3" borderId="1" xfId="0" applyFont="1" applyFill="1" applyBorder="1" applyAlignment="1">
      <alignment/>
    </xf>
    <xf numFmtId="0" fontId="10" fillId="6" borderId="1" xfId="0" applyFont="1" applyFill="1" applyBorder="1" applyAlignment="1">
      <alignment/>
    </xf>
    <xf numFmtId="0" fontId="0" fillId="2" borderId="2" xfId="0" applyFont="1" applyFill="1" applyBorder="1" applyAlignment="1">
      <alignment vertical="center" wrapText="1"/>
    </xf>
    <xf numFmtId="0" fontId="0" fillId="2" borderId="4" xfId="0" applyFont="1" applyFill="1" applyBorder="1" applyAlignment="1">
      <alignment vertical="center" wrapText="1"/>
    </xf>
    <xf numFmtId="0" fontId="15" fillId="2" borderId="3" xfId="0" applyFont="1" applyFill="1" applyBorder="1" applyAlignment="1">
      <alignment vertical="center"/>
    </xf>
    <xf numFmtId="0" fontId="0" fillId="2" borderId="43" xfId="0" applyFill="1" applyBorder="1" applyAlignment="1">
      <alignment vertical="center"/>
    </xf>
    <xf numFmtId="1" fontId="0" fillId="2" borderId="43" xfId="0" applyNumberFormat="1" applyFill="1" applyBorder="1" applyAlignment="1">
      <alignment horizontal="center" vertical="center"/>
    </xf>
    <xf numFmtId="0" fontId="3" fillId="2" borderId="13" xfId="0" applyFont="1" applyFill="1" applyBorder="1" applyAlignment="1">
      <alignment vertical="center"/>
    </xf>
    <xf numFmtId="1" fontId="3" fillId="2" borderId="44" xfId="0" applyNumberFormat="1" applyFont="1" applyFill="1" applyBorder="1" applyAlignment="1">
      <alignment horizontal="center" vertical="center"/>
    </xf>
    <xf numFmtId="0" fontId="0" fillId="2" borderId="7" xfId="0" applyFill="1" applyBorder="1" applyAlignment="1">
      <alignment wrapText="1"/>
    </xf>
    <xf numFmtId="0" fontId="0" fillId="2" borderId="0" xfId="0" applyFill="1" applyBorder="1" applyAlignment="1">
      <alignment wrapText="1"/>
    </xf>
    <xf numFmtId="0" fontId="3" fillId="2" borderId="10" xfId="0" applyFont="1" applyFill="1" applyBorder="1" applyAlignment="1">
      <alignment/>
    </xf>
    <xf numFmtId="0" fontId="21" fillId="2" borderId="0" xfId="0" applyFont="1" applyFill="1" applyAlignment="1">
      <alignment/>
    </xf>
    <xf numFmtId="0" fontId="21" fillId="2" borderId="0" xfId="0" applyFont="1" applyFill="1" applyBorder="1" applyAlignment="1">
      <alignment horizontal="right" vertical="center"/>
    </xf>
    <xf numFmtId="0" fontId="0" fillId="2" borderId="27" xfId="0" applyFont="1" applyFill="1" applyBorder="1" applyAlignment="1">
      <alignment horizontal="left" vertical="center"/>
    </xf>
    <xf numFmtId="0" fontId="0" fillId="2" borderId="5" xfId="0" applyFill="1" applyBorder="1" applyAlignment="1">
      <alignment wrapText="1"/>
    </xf>
    <xf numFmtId="0" fontId="0" fillId="5" borderId="7" xfId="0" applyFill="1" applyBorder="1" applyAlignment="1">
      <alignment horizontal="center" vertical="center"/>
    </xf>
    <xf numFmtId="2" fontId="3" fillId="2" borderId="38" xfId="0" applyNumberFormat="1" applyFont="1" applyFill="1" applyBorder="1" applyAlignment="1">
      <alignment horizontal="center" vertical="center" wrapText="1"/>
    </xf>
    <xf numFmtId="2" fontId="3" fillId="2" borderId="0" xfId="0" applyNumberFormat="1" applyFont="1" applyFill="1" applyBorder="1" applyAlignment="1">
      <alignment horizontal="center" vertical="center"/>
    </xf>
    <xf numFmtId="2" fontId="3" fillId="2" borderId="33" xfId="0" applyNumberFormat="1" applyFont="1" applyFill="1" applyBorder="1" applyAlignment="1">
      <alignment horizontal="center" vertical="center"/>
    </xf>
    <xf numFmtId="2" fontId="3" fillId="2" borderId="0" xfId="0" applyNumberFormat="1" applyFont="1" applyFill="1" applyBorder="1" applyAlignment="1">
      <alignment horizontal="center"/>
    </xf>
    <xf numFmtId="2" fontId="3" fillId="2" borderId="33" xfId="0" applyNumberFormat="1" applyFont="1" applyFill="1" applyBorder="1" applyAlignment="1">
      <alignment horizontal="center"/>
    </xf>
    <xf numFmtId="173" fontId="3" fillId="2" borderId="19" xfId="0" applyNumberFormat="1" applyFont="1" applyFill="1" applyBorder="1" applyAlignment="1">
      <alignment horizontal="center"/>
    </xf>
    <xf numFmtId="173" fontId="3" fillId="2" borderId="31" xfId="0" applyNumberFormat="1" applyFont="1" applyFill="1" applyBorder="1" applyAlignment="1">
      <alignment horizontal="center"/>
    </xf>
    <xf numFmtId="173" fontId="3" fillId="2" borderId="19" xfId="0" applyNumberFormat="1" applyFont="1" applyFill="1" applyBorder="1" applyAlignment="1">
      <alignment horizontal="center" vertical="center"/>
    </xf>
    <xf numFmtId="173" fontId="3" fillId="2" borderId="31" xfId="0" applyNumberFormat="1" applyFont="1" applyFill="1" applyBorder="1" applyAlignment="1">
      <alignment horizontal="center" vertical="center"/>
    </xf>
    <xf numFmtId="0" fontId="0" fillId="2" borderId="10" xfId="0" applyFont="1" applyFill="1" applyBorder="1" applyAlignment="1">
      <alignment horizontal="center" wrapText="1"/>
    </xf>
    <xf numFmtId="1" fontId="0" fillId="2" borderId="17" xfId="0" applyNumberFormat="1" applyFont="1" applyFill="1" applyBorder="1" applyAlignment="1">
      <alignment horizontal="center" vertical="center"/>
    </xf>
    <xf numFmtId="1" fontId="0" fillId="2" borderId="7" xfId="0" applyNumberFormat="1" applyFont="1" applyFill="1" applyBorder="1" applyAlignment="1">
      <alignment horizontal="center"/>
    </xf>
    <xf numFmtId="1" fontId="0" fillId="2" borderId="9" xfId="0" applyNumberFormat="1" applyFont="1" applyFill="1" applyBorder="1" applyAlignment="1">
      <alignment horizontal="center"/>
    </xf>
    <xf numFmtId="0" fontId="0" fillId="2" borderId="21" xfId="0" applyFont="1" applyFill="1" applyBorder="1" applyAlignment="1">
      <alignment horizontal="center" wrapText="1"/>
    </xf>
    <xf numFmtId="173" fontId="0" fillId="2" borderId="8" xfId="0" applyNumberFormat="1" applyFont="1" applyFill="1" applyBorder="1" applyAlignment="1">
      <alignment horizontal="center" vertical="center"/>
    </xf>
    <xf numFmtId="173" fontId="0" fillId="2" borderId="1" xfId="0" applyNumberFormat="1" applyFont="1" applyFill="1" applyBorder="1" applyAlignment="1">
      <alignment horizontal="center" vertical="center"/>
    </xf>
    <xf numFmtId="0" fontId="22" fillId="2" borderId="0" xfId="0" applyFont="1" applyFill="1" applyAlignment="1">
      <alignment/>
    </xf>
    <xf numFmtId="0" fontId="23" fillId="2" borderId="4" xfId="0" applyFont="1" applyFill="1" applyBorder="1" applyAlignment="1">
      <alignment horizontal="center" wrapText="1"/>
    </xf>
    <xf numFmtId="1" fontId="23" fillId="2" borderId="3" xfId="0" applyNumberFormat="1" applyFont="1" applyFill="1" applyBorder="1" applyAlignment="1">
      <alignment horizontal="center" vertical="center"/>
    </xf>
    <xf numFmtId="1" fontId="23" fillId="2" borderId="8" xfId="0" applyNumberFormat="1" applyFont="1" applyFill="1" applyBorder="1" applyAlignment="1">
      <alignment horizontal="center" vertical="center"/>
    </xf>
    <xf numFmtId="1" fontId="23" fillId="2" borderId="26" xfId="0" applyNumberFormat="1" applyFont="1" applyFill="1" applyBorder="1" applyAlignment="1">
      <alignment horizontal="center" vertical="center"/>
    </xf>
    <xf numFmtId="173" fontId="23" fillId="2" borderId="2" xfId="0" applyNumberFormat="1" applyFont="1" applyFill="1" applyBorder="1" applyAlignment="1">
      <alignment horizontal="center" vertical="center"/>
    </xf>
    <xf numFmtId="173" fontId="23" fillId="2" borderId="3" xfId="0" applyNumberFormat="1" applyFont="1" applyFill="1" applyBorder="1" applyAlignment="1">
      <alignment horizontal="center" vertical="center"/>
    </xf>
    <xf numFmtId="173" fontId="23" fillId="2" borderId="1" xfId="0" applyNumberFormat="1" applyFont="1" applyFill="1" applyBorder="1" applyAlignment="1">
      <alignment horizontal="center" vertical="center"/>
    </xf>
    <xf numFmtId="173" fontId="3" fillId="2" borderId="22" xfId="0" applyNumberFormat="1" applyFont="1" applyFill="1" applyBorder="1" applyAlignment="1">
      <alignment horizontal="center"/>
    </xf>
    <xf numFmtId="173" fontId="3" fillId="2" borderId="23" xfId="0" applyNumberFormat="1" applyFont="1" applyFill="1" applyBorder="1" applyAlignment="1">
      <alignment horizontal="center"/>
    </xf>
    <xf numFmtId="173" fontId="0" fillId="2" borderId="0" xfId="0" applyNumberFormat="1" applyFill="1" applyAlignment="1">
      <alignment/>
    </xf>
    <xf numFmtId="0" fontId="0" fillId="2" borderId="0" xfId="0" applyFill="1" applyBorder="1" applyAlignment="1">
      <alignment horizontal="center" vertical="center"/>
    </xf>
    <xf numFmtId="0" fontId="0" fillId="2" borderId="6" xfId="0" applyFill="1" applyBorder="1" applyAlignment="1">
      <alignment vertical="center" wrapText="1"/>
    </xf>
    <xf numFmtId="0" fontId="0" fillId="7" borderId="45" xfId="0" applyFill="1" applyBorder="1" applyAlignment="1">
      <alignment horizontal="center" vertical="center"/>
    </xf>
    <xf numFmtId="0" fontId="0" fillId="2" borderId="5" xfId="0" applyFill="1" applyBorder="1" applyAlignment="1">
      <alignment vertical="center" wrapText="1"/>
    </xf>
    <xf numFmtId="0" fontId="0" fillId="2" borderId="0" xfId="0" applyFont="1" applyFill="1" applyBorder="1" applyAlignment="1">
      <alignment/>
    </xf>
    <xf numFmtId="0" fontId="0" fillId="2" borderId="0" xfId="0" applyFill="1" applyBorder="1" applyAlignment="1">
      <alignment horizontal="center"/>
    </xf>
    <xf numFmtId="0" fontId="0" fillId="2" borderId="0" xfId="0" applyFont="1" applyFill="1" applyBorder="1" applyAlignment="1">
      <alignment vertical="center"/>
    </xf>
    <xf numFmtId="0" fontId="25" fillId="2" borderId="0" xfId="0" applyFont="1" applyFill="1" applyBorder="1" applyAlignment="1">
      <alignment/>
    </xf>
    <xf numFmtId="0" fontId="0" fillId="2" borderId="0" xfId="0" applyFont="1" applyFill="1" applyBorder="1" applyAlignment="1">
      <alignment horizontal="center"/>
    </xf>
    <xf numFmtId="0" fontId="0" fillId="2" borderId="0" xfId="0" applyFont="1" applyFill="1" applyBorder="1" applyAlignment="1">
      <alignment/>
    </xf>
    <xf numFmtId="0" fontId="21" fillId="2" borderId="0" xfId="0" applyFont="1" applyFill="1" applyBorder="1" applyAlignment="1">
      <alignment/>
    </xf>
    <xf numFmtId="0" fontId="0" fillId="2" borderId="25" xfId="0" applyFont="1" applyFill="1" applyBorder="1" applyAlignment="1">
      <alignment vertical="center"/>
    </xf>
    <xf numFmtId="1" fontId="0" fillId="2" borderId="15" xfId="0" applyNumberFormat="1" applyFill="1" applyBorder="1" applyAlignment="1">
      <alignment horizontal="center"/>
    </xf>
    <xf numFmtId="1" fontId="0" fillId="2" borderId="19" xfId="0" applyNumberFormat="1" applyFill="1" applyBorder="1" applyAlignment="1">
      <alignment horizontal="center"/>
    </xf>
    <xf numFmtId="2" fontId="0" fillId="2" borderId="19" xfId="0" applyNumberFormat="1" applyFill="1" applyBorder="1" applyAlignment="1">
      <alignment horizontal="center"/>
    </xf>
    <xf numFmtId="0" fontId="3" fillId="2" borderId="25" xfId="0" applyFont="1" applyFill="1" applyBorder="1" applyAlignment="1">
      <alignment wrapText="1"/>
    </xf>
    <xf numFmtId="1" fontId="0" fillId="2" borderId="15" xfId="0" applyNumberFormat="1" applyFill="1" applyBorder="1" applyAlignment="1">
      <alignment horizontal="center" vertical="center"/>
    </xf>
    <xf numFmtId="1" fontId="0" fillId="2" borderId="31" xfId="0" applyNumberFormat="1" applyFill="1" applyBorder="1" applyAlignment="1">
      <alignment horizontal="center" vertical="center"/>
    </xf>
    <xf numFmtId="0" fontId="0" fillId="2" borderId="19" xfId="0" applyFont="1" applyFill="1" applyBorder="1" applyAlignment="1">
      <alignment horizontal="center" vertical="center"/>
    </xf>
    <xf numFmtId="0" fontId="0" fillId="2" borderId="31" xfId="0" applyFill="1" applyBorder="1" applyAlignment="1">
      <alignment horizontal="center" vertical="center"/>
    </xf>
    <xf numFmtId="0" fontId="0" fillId="2" borderId="19" xfId="0" applyFill="1" applyBorder="1" applyAlignment="1">
      <alignment horizontal="center" vertical="center"/>
    </xf>
    <xf numFmtId="2" fontId="0" fillId="2" borderId="19" xfId="0" applyNumberFormat="1" applyFill="1" applyBorder="1" applyAlignment="1">
      <alignment horizontal="center" vertical="center"/>
    </xf>
    <xf numFmtId="1" fontId="0" fillId="2" borderId="46" xfId="0" applyNumberFormat="1" applyFill="1" applyBorder="1" applyAlignment="1">
      <alignment horizontal="center" vertical="center"/>
    </xf>
    <xf numFmtId="1" fontId="0" fillId="2" borderId="19" xfId="0" applyNumberFormat="1" applyFill="1" applyBorder="1" applyAlignment="1">
      <alignment horizontal="center" vertical="center"/>
    </xf>
    <xf numFmtId="173" fontId="0" fillId="2" borderId="19" xfId="0" applyNumberFormat="1" applyFill="1" applyBorder="1" applyAlignment="1">
      <alignment horizontal="center" vertical="center"/>
    </xf>
    <xf numFmtId="0" fontId="0" fillId="2" borderId="0" xfId="0" applyFill="1" applyAlignment="1">
      <alignment horizontal="center" vertical="center"/>
    </xf>
    <xf numFmtId="0" fontId="0" fillId="2" borderId="33" xfId="0" applyFill="1" applyBorder="1" applyAlignment="1">
      <alignment horizontal="center" vertical="center"/>
    </xf>
    <xf numFmtId="0" fontId="0" fillId="2" borderId="15" xfId="0" applyFill="1" applyBorder="1" applyAlignment="1">
      <alignment horizontal="center" vertical="center"/>
    </xf>
    <xf numFmtId="1" fontId="0" fillId="2" borderId="16" xfId="0" applyNumberFormat="1" applyFill="1" applyBorder="1" applyAlignment="1">
      <alignment horizontal="center" vertical="center"/>
    </xf>
    <xf numFmtId="1" fontId="0" fillId="2" borderId="47" xfId="0" applyNumberFormat="1" applyFill="1" applyBorder="1" applyAlignment="1">
      <alignment horizontal="center" vertical="center"/>
    </xf>
    <xf numFmtId="1" fontId="3" fillId="2" borderId="46" xfId="0" applyNumberFormat="1" applyFont="1" applyFill="1" applyBorder="1" applyAlignment="1">
      <alignment horizontal="center" vertical="center"/>
    </xf>
    <xf numFmtId="0" fontId="1" fillId="3" borderId="18" xfId="0" applyFont="1" applyFill="1" applyBorder="1" applyAlignment="1">
      <alignment horizontal="center" vertical="center"/>
    </xf>
    <xf numFmtId="0" fontId="1" fillId="3" borderId="10" xfId="0" applyFont="1" applyFill="1" applyBorder="1" applyAlignment="1">
      <alignment horizontal="center" vertical="center"/>
    </xf>
    <xf numFmtId="0" fontId="1"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173" fontId="0" fillId="2" borderId="4" xfId="0" applyNumberFormat="1" applyFill="1" applyBorder="1" applyAlignment="1">
      <alignment horizontal="center" vertical="center"/>
    </xf>
    <xf numFmtId="173" fontId="0" fillId="2" borderId="0" xfId="0" applyNumberFormat="1" applyFill="1" applyBorder="1" applyAlignment="1">
      <alignment horizontal="center" vertical="center"/>
    </xf>
    <xf numFmtId="0" fontId="0" fillId="2" borderId="10" xfId="0" applyFill="1" applyBorder="1" applyAlignment="1">
      <alignment horizontal="center" vertical="center"/>
    </xf>
    <xf numFmtId="2" fontId="0" fillId="2" borderId="15"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0" xfId="0" applyNumberFormat="1" applyFont="1" applyFill="1" applyBorder="1" applyAlignment="1">
      <alignment horizontal="center" vertical="center"/>
    </xf>
    <xf numFmtId="173" fontId="0" fillId="2" borderId="19" xfId="0" applyNumberFormat="1" applyFont="1" applyFill="1" applyBorder="1" applyAlignment="1">
      <alignment horizontal="center" vertical="center"/>
    </xf>
    <xf numFmtId="2" fontId="0" fillId="2" borderId="16" xfId="0" applyNumberFormat="1" applyFill="1" applyBorder="1" applyAlignment="1">
      <alignment horizontal="center" vertical="center"/>
    </xf>
    <xf numFmtId="2" fontId="0" fillId="2" borderId="47" xfId="0" applyNumberFormat="1" applyFill="1" applyBorder="1" applyAlignment="1">
      <alignment horizontal="center" vertical="center"/>
    </xf>
    <xf numFmtId="0" fontId="0" fillId="2" borderId="4" xfId="0" applyFill="1" applyBorder="1" applyAlignment="1">
      <alignment horizontal="center" vertical="center"/>
    </xf>
    <xf numFmtId="0" fontId="9" fillId="2" borderId="0" xfId="0" applyFont="1" applyFill="1" applyBorder="1" applyAlignment="1">
      <alignment/>
    </xf>
    <xf numFmtId="2" fontId="0" fillId="2" borderId="0" xfId="0" applyNumberFormat="1" applyFont="1" applyFill="1" applyBorder="1" applyAlignment="1">
      <alignment horizontal="center"/>
    </xf>
    <xf numFmtId="173" fontId="0" fillId="2" borderId="19" xfId="0" applyNumberFormat="1" applyFont="1" applyFill="1" applyBorder="1" applyAlignment="1">
      <alignment horizontal="center"/>
    </xf>
    <xf numFmtId="172" fontId="0" fillId="2" borderId="22" xfId="0" applyNumberFormat="1" applyFont="1" applyFill="1" applyBorder="1" applyAlignment="1">
      <alignment horizontal="center"/>
    </xf>
    <xf numFmtId="2" fontId="0" fillId="2" borderId="6" xfId="0" applyNumberFormat="1" applyFont="1" applyFill="1" applyBorder="1" applyAlignment="1">
      <alignment vertical="center"/>
    </xf>
    <xf numFmtId="2" fontId="0" fillId="2" borderId="22" xfId="0" applyNumberFormat="1" applyFont="1" applyFill="1" applyBorder="1" applyAlignment="1">
      <alignment horizontal="center"/>
    </xf>
    <xf numFmtId="173" fontId="0" fillId="2" borderId="22" xfId="0" applyNumberFormat="1" applyFont="1" applyFill="1" applyBorder="1" applyAlignment="1">
      <alignment horizontal="center"/>
    </xf>
    <xf numFmtId="1" fontId="3" fillId="2" borderId="48" xfId="0" applyNumberFormat="1" applyFont="1" applyFill="1" applyBorder="1" applyAlignment="1">
      <alignment horizontal="center"/>
    </xf>
    <xf numFmtId="0" fontId="0" fillId="2" borderId="5" xfId="0" applyFill="1" applyBorder="1" applyAlignment="1">
      <alignment vertical="center"/>
    </xf>
    <xf numFmtId="0" fontId="14" fillId="2" borderId="8" xfId="0" applyFont="1" applyFill="1" applyBorder="1" applyAlignment="1">
      <alignment horizontal="center" vertical="center"/>
    </xf>
    <xf numFmtId="0" fontId="14" fillId="2" borderId="19" xfId="0" applyFont="1" applyFill="1" applyBorder="1" applyAlignment="1">
      <alignment horizontal="center" vertical="center"/>
    </xf>
    <xf numFmtId="0" fontId="3" fillId="7" borderId="25" xfId="0" applyFont="1" applyFill="1" applyBorder="1" applyAlignment="1">
      <alignment horizontal="center" vertical="center"/>
    </xf>
    <xf numFmtId="0" fontId="0" fillId="7" borderId="45" xfId="0" applyFill="1" applyBorder="1" applyAlignment="1">
      <alignment vertical="center"/>
    </xf>
    <xf numFmtId="0" fontId="14" fillId="7" borderId="15" xfId="0" applyFont="1" applyFill="1" applyBorder="1" applyAlignment="1">
      <alignment vertical="center"/>
    </xf>
    <xf numFmtId="0" fontId="14" fillId="7" borderId="49" xfId="0" applyFont="1" applyFill="1" applyBorder="1" applyAlignment="1">
      <alignment vertical="center"/>
    </xf>
    <xf numFmtId="0" fontId="1" fillId="5" borderId="1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1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9" xfId="0" applyFont="1" applyFill="1" applyBorder="1" applyAlignment="1">
      <alignment horizontal="center" vertical="center"/>
    </xf>
    <xf numFmtId="1" fontId="0" fillId="5" borderId="7" xfId="0" applyNumberFormat="1" applyFill="1" applyBorder="1" applyAlignment="1">
      <alignment horizontal="center" vertical="center"/>
    </xf>
    <xf numFmtId="0" fontId="0" fillId="8" borderId="0" xfId="0" applyFill="1" applyAlignment="1">
      <alignment vertical="center"/>
    </xf>
    <xf numFmtId="0" fontId="1" fillId="2" borderId="0" xfId="0" applyFont="1" applyFill="1" applyAlignment="1">
      <alignment vertical="center"/>
    </xf>
    <xf numFmtId="0" fontId="1" fillId="7" borderId="15" xfId="0" applyFont="1" applyFill="1" applyBorder="1" applyAlignment="1">
      <alignment horizontal="center" vertical="center" wrapText="1"/>
    </xf>
    <xf numFmtId="0" fontId="1" fillId="7" borderId="49" xfId="0" applyFont="1" applyFill="1" applyBorder="1" applyAlignment="1">
      <alignment horizontal="center" vertical="center"/>
    </xf>
    <xf numFmtId="0" fontId="1" fillId="7" borderId="15" xfId="0" applyFont="1" applyFill="1" applyBorder="1" applyAlignment="1">
      <alignment horizontal="center" vertical="center"/>
    </xf>
    <xf numFmtId="2" fontId="0" fillId="5" borderId="7" xfId="0" applyNumberFormat="1" applyFill="1" applyBorder="1" applyAlignment="1">
      <alignment horizontal="center" vertical="center"/>
    </xf>
    <xf numFmtId="173" fontId="0" fillId="5" borderId="7" xfId="0" applyNumberFormat="1" applyFill="1" applyBorder="1" applyAlignment="1">
      <alignment horizontal="center" vertical="center"/>
    </xf>
    <xf numFmtId="0" fontId="0" fillId="2" borderId="6" xfId="0" applyFill="1" applyBorder="1" applyAlignment="1">
      <alignment vertical="center"/>
    </xf>
    <xf numFmtId="0" fontId="1" fillId="5" borderId="31" xfId="0" applyFont="1" applyFill="1" applyBorder="1" applyAlignment="1">
      <alignment horizontal="center" vertical="center" wrapText="1"/>
    </xf>
    <xf numFmtId="0" fontId="1" fillId="2" borderId="50" xfId="0" applyFont="1" applyFill="1" applyBorder="1" applyAlignment="1">
      <alignment horizontal="center" vertical="center"/>
    </xf>
    <xf numFmtId="0" fontId="1" fillId="2" borderId="31" xfId="0" applyFont="1" applyFill="1" applyBorder="1" applyAlignment="1">
      <alignment horizontal="center" vertical="center"/>
    </xf>
    <xf numFmtId="0" fontId="3" fillId="7" borderId="5" xfId="0" applyFont="1" applyFill="1" applyBorder="1" applyAlignment="1">
      <alignment horizontal="center" vertical="center"/>
    </xf>
    <xf numFmtId="0" fontId="0" fillId="7" borderId="7" xfId="0" applyFill="1" applyBorder="1" applyAlignment="1">
      <alignment horizontal="center" vertical="center"/>
    </xf>
    <xf numFmtId="0" fontId="1" fillId="7" borderId="19" xfId="0" applyFont="1" applyFill="1" applyBorder="1" applyAlignment="1">
      <alignment horizontal="center" vertical="center" wrapText="1"/>
    </xf>
    <xf numFmtId="0" fontId="1" fillId="7" borderId="8" xfId="0" applyFont="1" applyFill="1" applyBorder="1" applyAlignment="1">
      <alignment horizontal="center" vertical="center"/>
    </xf>
    <xf numFmtId="0" fontId="1" fillId="7" borderId="19" xfId="0" applyFont="1" applyFill="1" applyBorder="1" applyAlignment="1">
      <alignment horizontal="center" vertical="center"/>
    </xf>
    <xf numFmtId="0" fontId="15" fillId="2" borderId="5" xfId="0" applyFont="1" applyFill="1" applyBorder="1" applyAlignment="1">
      <alignment vertical="center"/>
    </xf>
    <xf numFmtId="0" fontId="0" fillId="7" borderId="15" xfId="0" applyFill="1" applyBorder="1" applyAlignment="1">
      <alignment vertical="center" wrapText="1"/>
    </xf>
    <xf numFmtId="0" fontId="0" fillId="7" borderId="49" xfId="0" applyFill="1" applyBorder="1" applyAlignment="1">
      <alignment vertical="center"/>
    </xf>
    <xf numFmtId="0" fontId="0" fillId="2" borderId="5" xfId="0" applyFont="1" applyFill="1" applyBorder="1" applyAlignment="1">
      <alignment vertical="center"/>
    </xf>
    <xf numFmtId="0" fontId="0" fillId="5" borderId="19" xfId="0" applyFill="1" applyBorder="1" applyAlignment="1">
      <alignment vertical="center" wrapText="1"/>
    </xf>
    <xf numFmtId="0" fontId="0" fillId="2" borderId="8" xfId="0" applyFill="1" applyBorder="1" applyAlignment="1">
      <alignment vertical="center"/>
    </xf>
    <xf numFmtId="0" fontId="0" fillId="5" borderId="31" xfId="0" applyFill="1" applyBorder="1" applyAlignment="1">
      <alignment vertical="center" wrapText="1"/>
    </xf>
    <xf numFmtId="0" fontId="0" fillId="2" borderId="50" xfId="0" applyFill="1" applyBorder="1" applyAlignment="1">
      <alignment vertical="center"/>
    </xf>
    <xf numFmtId="0" fontId="0" fillId="7" borderId="0" xfId="0" applyFill="1" applyAlignment="1">
      <alignment vertical="center"/>
    </xf>
    <xf numFmtId="0" fontId="0" fillId="7" borderId="15" xfId="0" applyFill="1" applyBorder="1" applyAlignment="1">
      <alignment vertical="center"/>
    </xf>
    <xf numFmtId="0" fontId="0" fillId="2" borderId="19" xfId="0" applyFill="1" applyBorder="1" applyAlignment="1">
      <alignment vertical="center"/>
    </xf>
    <xf numFmtId="0" fontId="3" fillId="7" borderId="25" xfId="0" applyFont="1" applyFill="1" applyBorder="1" applyAlignment="1">
      <alignment horizontal="center" vertical="center" wrapText="1"/>
    </xf>
    <xf numFmtId="0" fontId="3" fillId="2" borderId="0" xfId="0" applyFont="1" applyFill="1" applyAlignment="1">
      <alignment vertical="center" wrapText="1"/>
    </xf>
    <xf numFmtId="0" fontId="0" fillId="5" borderId="48" xfId="0" applyFill="1" applyBorder="1" applyAlignment="1">
      <alignment horizontal="center" vertical="center"/>
    </xf>
    <xf numFmtId="1" fontId="0" fillId="2" borderId="0" xfId="0" applyNumberFormat="1" applyFill="1" applyAlignment="1">
      <alignment vertical="center"/>
    </xf>
    <xf numFmtId="172" fontId="0" fillId="2" borderId="0" xfId="0" applyNumberFormat="1" applyFill="1" applyAlignment="1">
      <alignment vertical="center"/>
    </xf>
    <xf numFmtId="175" fontId="0" fillId="2" borderId="0" xfId="0" applyNumberFormat="1" applyFill="1" applyAlignment="1">
      <alignment vertical="center"/>
    </xf>
    <xf numFmtId="0" fontId="3" fillId="2" borderId="0" xfId="0" applyFont="1" applyFill="1" applyAlignment="1">
      <alignment vertical="center"/>
    </xf>
    <xf numFmtId="0" fontId="3" fillId="4" borderId="38" xfId="0" applyFont="1" applyFill="1" applyBorder="1" applyAlignment="1">
      <alignment horizontal="center" vertical="center" wrapText="1"/>
    </xf>
    <xf numFmtId="1" fontId="3" fillId="4" borderId="0" xfId="0" applyNumberFormat="1" applyFont="1" applyFill="1" applyBorder="1" applyAlignment="1">
      <alignment horizontal="center"/>
    </xf>
    <xf numFmtId="1" fontId="3" fillId="4" borderId="33" xfId="0" applyNumberFormat="1" applyFont="1" applyFill="1" applyBorder="1" applyAlignment="1">
      <alignment horizontal="center"/>
    </xf>
    <xf numFmtId="1" fontId="0" fillId="2" borderId="7" xfId="0" applyNumberFormat="1" applyFont="1" applyFill="1" applyBorder="1" applyAlignment="1">
      <alignment horizontal="center" vertical="center"/>
    </xf>
    <xf numFmtId="1" fontId="0" fillId="2" borderId="15" xfId="0" applyNumberFormat="1" applyFont="1" applyFill="1" applyBorder="1" applyAlignment="1">
      <alignment horizontal="center"/>
    </xf>
    <xf numFmtId="1" fontId="3" fillId="2" borderId="46" xfId="0" applyNumberFormat="1" applyFont="1" applyFill="1" applyBorder="1" applyAlignment="1">
      <alignment horizontal="center"/>
    </xf>
    <xf numFmtId="1" fontId="3" fillId="2" borderId="31" xfId="0" applyNumberFormat="1" applyFont="1" applyFill="1" applyBorder="1" applyAlignment="1">
      <alignment horizontal="center"/>
    </xf>
    <xf numFmtId="0" fontId="3" fillId="2" borderId="17" xfId="0" applyFont="1" applyFill="1" applyBorder="1" applyAlignment="1">
      <alignment wrapText="1"/>
    </xf>
    <xf numFmtId="0" fontId="3" fillId="2" borderId="25" xfId="0" applyFont="1" applyFill="1" applyBorder="1" applyAlignment="1">
      <alignment/>
    </xf>
    <xf numFmtId="1" fontId="0" fillId="2" borderId="47" xfId="0" applyNumberFormat="1" applyFill="1" applyBorder="1" applyAlignment="1">
      <alignment horizontal="center"/>
    </xf>
    <xf numFmtId="2" fontId="0" fillId="2" borderId="3" xfId="0" applyNumberFormat="1" applyFill="1" applyBorder="1" applyAlignment="1">
      <alignment horizontal="center"/>
    </xf>
    <xf numFmtId="0" fontId="0" fillId="2" borderId="1" xfId="0" applyFont="1" applyFill="1" applyBorder="1" applyAlignment="1">
      <alignment/>
    </xf>
    <xf numFmtId="1" fontId="0" fillId="2" borderId="1" xfId="0" applyNumberFormat="1" applyFont="1" applyFill="1" applyBorder="1" applyAlignment="1">
      <alignment horizontal="center"/>
    </xf>
    <xf numFmtId="0" fontId="0" fillId="2" borderId="18" xfId="0" applyFont="1" applyFill="1" applyBorder="1" applyAlignment="1">
      <alignment/>
    </xf>
    <xf numFmtId="1" fontId="0" fillId="2" borderId="18" xfId="0" applyNumberFormat="1" applyFont="1" applyFill="1" applyBorder="1" applyAlignment="1">
      <alignment horizontal="center"/>
    </xf>
    <xf numFmtId="1" fontId="0" fillId="2" borderId="2" xfId="0" applyNumberFormat="1" applyFont="1" applyFill="1" applyBorder="1" applyAlignment="1">
      <alignment horizontal="center"/>
    </xf>
    <xf numFmtId="1" fontId="0" fillId="2" borderId="3" xfId="0" applyNumberFormat="1" applyFont="1" applyFill="1" applyBorder="1" applyAlignment="1">
      <alignment horizontal="center"/>
    </xf>
    <xf numFmtId="0" fontId="3" fillId="2" borderId="25" xfId="0" applyFont="1" applyFill="1" applyBorder="1" applyAlignment="1">
      <alignment/>
    </xf>
    <xf numFmtId="0" fontId="1" fillId="2" borderId="25" xfId="0" applyFont="1" applyFill="1" applyBorder="1" applyAlignment="1">
      <alignment/>
    </xf>
    <xf numFmtId="0" fontId="1" fillId="2" borderId="5" xfId="0" applyFont="1" applyFill="1" applyBorder="1" applyAlignment="1">
      <alignment/>
    </xf>
    <xf numFmtId="0" fontId="1" fillId="2" borderId="6" xfId="0" applyFont="1" applyFill="1" applyBorder="1" applyAlignment="1">
      <alignment/>
    </xf>
    <xf numFmtId="1" fontId="1" fillId="2" borderId="15" xfId="0" applyNumberFormat="1" applyFont="1" applyFill="1" applyBorder="1" applyAlignment="1">
      <alignment/>
    </xf>
    <xf numFmtId="1" fontId="1" fillId="2" borderId="19" xfId="0" applyNumberFormat="1" applyFont="1" applyFill="1" applyBorder="1" applyAlignment="1">
      <alignment/>
    </xf>
    <xf numFmtId="1" fontId="1" fillId="2" borderId="31" xfId="0" applyNumberFormat="1" applyFont="1" applyFill="1" applyBorder="1" applyAlignment="1">
      <alignment/>
    </xf>
    <xf numFmtId="1" fontId="1" fillId="2" borderId="0" xfId="0" applyNumberFormat="1" applyFont="1" applyFill="1" applyBorder="1" applyAlignment="1">
      <alignment/>
    </xf>
    <xf numFmtId="2" fontId="9" fillId="2" borderId="0" xfId="0" applyNumberFormat="1" applyFont="1" applyFill="1" applyBorder="1" applyAlignment="1">
      <alignment horizontal="center"/>
    </xf>
    <xf numFmtId="174" fontId="0" fillId="2" borderId="2" xfId="0" applyNumberFormat="1" applyFill="1" applyBorder="1" applyAlignment="1">
      <alignment horizontal="center"/>
    </xf>
    <xf numFmtId="0" fontId="1" fillId="2" borderId="0" xfId="0" applyFont="1" applyFill="1" applyBorder="1" applyAlignment="1">
      <alignment vertical="center"/>
    </xf>
    <xf numFmtId="0" fontId="1" fillId="2" borderId="0" xfId="0" applyFont="1" applyFill="1" applyBorder="1" applyAlignment="1">
      <alignment horizontal="center" vertical="center" wrapText="1"/>
    </xf>
    <xf numFmtId="173" fontId="1" fillId="2" borderId="0" xfId="0" applyNumberFormat="1" applyFont="1" applyFill="1" applyBorder="1" applyAlignment="1">
      <alignment horizontal="center" vertical="center"/>
    </xf>
    <xf numFmtId="0" fontId="17" fillId="2" borderId="0" xfId="0" applyFont="1" applyFill="1" applyBorder="1" applyAlignment="1">
      <alignment horizontal="center" vertical="center"/>
    </xf>
    <xf numFmtId="1" fontId="0" fillId="2" borderId="0" xfId="0" applyNumberFormat="1" applyFill="1" applyAlignment="1">
      <alignment/>
    </xf>
    <xf numFmtId="9" fontId="0" fillId="2" borderId="0" xfId="0" applyNumberFormat="1" applyFill="1" applyAlignment="1">
      <alignment/>
    </xf>
    <xf numFmtId="0" fontId="3" fillId="2" borderId="32" xfId="0" applyFont="1" applyFill="1" applyBorder="1" applyAlignment="1">
      <alignment vertical="center" wrapText="1"/>
    </xf>
    <xf numFmtId="0" fontId="0" fillId="2" borderId="0" xfId="0" applyFill="1" applyBorder="1" applyAlignment="1">
      <alignment vertical="center" wrapText="1"/>
    </xf>
    <xf numFmtId="0" fontId="3" fillId="2" borderId="1" xfId="0" applyFont="1" applyFill="1" applyBorder="1" applyAlignment="1">
      <alignment horizontal="center" vertical="center" wrapText="1"/>
    </xf>
    <xf numFmtId="0" fontId="0" fillId="2" borderId="3" xfId="0" applyFont="1" applyFill="1" applyBorder="1" applyAlignment="1">
      <alignment horizontal="left" vertical="center"/>
    </xf>
    <xf numFmtId="0" fontId="3" fillId="2" borderId="0" xfId="0" applyFont="1" applyFill="1" applyBorder="1" applyAlignment="1">
      <alignment vertical="center" wrapText="1"/>
    </xf>
    <xf numFmtId="0" fontId="3" fillId="2" borderId="51" xfId="0" applyFont="1" applyFill="1" applyBorder="1" applyAlignment="1">
      <alignment horizontal="center" vertical="center" wrapText="1"/>
    </xf>
    <xf numFmtId="1" fontId="0" fillId="2" borderId="51" xfId="0" applyNumberFormat="1" applyFill="1" applyBorder="1" applyAlignment="1">
      <alignment horizontal="center" vertical="center"/>
    </xf>
    <xf numFmtId="0" fontId="15" fillId="2" borderId="5" xfId="0" applyFont="1" applyFill="1" applyBorder="1" applyAlignment="1">
      <alignment vertical="center" wrapText="1"/>
    </xf>
    <xf numFmtId="0" fontId="0" fillId="7" borderId="52" xfId="0" applyFill="1" applyBorder="1" applyAlignment="1">
      <alignment vertical="center"/>
    </xf>
    <xf numFmtId="0" fontId="15" fillId="2" borderId="5" xfId="0" applyFont="1" applyFill="1" applyBorder="1" applyAlignment="1">
      <alignment vertical="center" wrapText="1"/>
    </xf>
    <xf numFmtId="0" fontId="0" fillId="2" borderId="5" xfId="0" applyFont="1" applyFill="1" applyBorder="1" applyAlignment="1">
      <alignment vertical="center" wrapText="1"/>
    </xf>
    <xf numFmtId="0" fontId="0" fillId="2" borderId="27" xfId="0" applyFont="1" applyFill="1" applyBorder="1" applyAlignment="1">
      <alignment horizontal="left" vertical="center" wrapText="1"/>
    </xf>
    <xf numFmtId="0" fontId="3" fillId="7" borderId="13" xfId="0" applyFont="1" applyFill="1" applyBorder="1" applyAlignment="1">
      <alignment horizontal="center" vertical="center" wrapText="1"/>
    </xf>
    <xf numFmtId="0" fontId="0" fillId="2" borderId="41" xfId="0" applyFill="1" applyBorder="1" applyAlignment="1">
      <alignment/>
    </xf>
    <xf numFmtId="1" fontId="3" fillId="2" borderId="31" xfId="0" applyNumberFormat="1" applyFont="1" applyFill="1" applyBorder="1" applyAlignment="1">
      <alignment horizontal="center" vertical="center"/>
    </xf>
    <xf numFmtId="0" fontId="0" fillId="2" borderId="24" xfId="0" applyFont="1" applyFill="1" applyBorder="1" applyAlignment="1">
      <alignment horizontal="center" vertical="center" wrapText="1"/>
    </xf>
    <xf numFmtId="1" fontId="0" fillId="2" borderId="22" xfId="0" applyNumberFormat="1" applyFont="1" applyFill="1" applyBorder="1" applyAlignment="1">
      <alignment horizontal="center" vertical="center"/>
    </xf>
    <xf numFmtId="1" fontId="0" fillId="2" borderId="23" xfId="0" applyNumberFormat="1" applyFont="1" applyFill="1" applyBorder="1" applyAlignment="1">
      <alignment horizontal="center" vertical="center"/>
    </xf>
    <xf numFmtId="0" fontId="3" fillId="2" borderId="17" xfId="0" applyFont="1" applyFill="1" applyBorder="1" applyAlignment="1">
      <alignment horizontal="right"/>
    </xf>
    <xf numFmtId="0" fontId="3" fillId="2" borderId="1" xfId="0" applyFont="1" applyFill="1" applyBorder="1" applyAlignment="1">
      <alignment horizontal="center" vertical="center"/>
    </xf>
    <xf numFmtId="0" fontId="0" fillId="2" borderId="7" xfId="0" applyFont="1" applyFill="1" applyBorder="1" applyAlignment="1">
      <alignment horizontal="left" vertical="center"/>
    </xf>
    <xf numFmtId="2" fontId="0" fillId="2" borderId="4" xfId="0" applyNumberFormat="1" applyFill="1" applyBorder="1" applyAlignment="1">
      <alignment horizontal="center" vertical="center"/>
    </xf>
    <xf numFmtId="0" fontId="3" fillId="2" borderId="7" xfId="0" applyFont="1" applyFill="1" applyBorder="1" applyAlignment="1">
      <alignment wrapText="1"/>
    </xf>
    <xf numFmtId="0" fontId="0" fillId="2" borderId="37" xfId="0" applyFill="1" applyBorder="1" applyAlignment="1">
      <alignment/>
    </xf>
    <xf numFmtId="0" fontId="0" fillId="2" borderId="7" xfId="0" applyFill="1" applyBorder="1" applyAlignment="1">
      <alignment horizontal="center" vertical="center"/>
    </xf>
    <xf numFmtId="2" fontId="0" fillId="2" borderId="7" xfId="0" applyNumberFormat="1" applyFill="1" applyBorder="1" applyAlignment="1">
      <alignment horizontal="center" vertical="center"/>
    </xf>
    <xf numFmtId="2" fontId="0" fillId="2" borderId="9" xfId="0" applyNumberFormat="1" applyFill="1" applyBorder="1" applyAlignment="1">
      <alignment horizontal="center" vertical="center"/>
    </xf>
    <xf numFmtId="1" fontId="0" fillId="2" borderId="17" xfId="0" applyNumberFormat="1" applyFill="1" applyBorder="1" applyAlignment="1">
      <alignment horizontal="center" vertical="center"/>
    </xf>
    <xf numFmtId="173" fontId="0" fillId="2" borderId="7" xfId="0" applyNumberFormat="1" applyFill="1" applyBorder="1" applyAlignment="1">
      <alignment horizontal="center" vertical="center"/>
    </xf>
    <xf numFmtId="1" fontId="0" fillId="2" borderId="37" xfId="0" applyNumberFormat="1" applyFill="1" applyBorder="1" applyAlignment="1">
      <alignment horizontal="center" vertical="center"/>
    </xf>
    <xf numFmtId="0" fontId="3" fillId="2" borderId="43" xfId="0" applyFont="1" applyFill="1" applyBorder="1" applyAlignment="1">
      <alignment vertical="center" wrapText="1"/>
    </xf>
    <xf numFmtId="0" fontId="0" fillId="2" borderId="37" xfId="0" applyFill="1" applyBorder="1" applyAlignment="1">
      <alignment vertical="center" wrapText="1"/>
    </xf>
    <xf numFmtId="0" fontId="0" fillId="2" borderId="37" xfId="0" applyFill="1" applyBorder="1" applyAlignment="1">
      <alignment horizontal="center" vertical="center"/>
    </xf>
    <xf numFmtId="0" fontId="3" fillId="7" borderId="45" xfId="0" applyFont="1" applyFill="1" applyBorder="1" applyAlignment="1">
      <alignment/>
    </xf>
    <xf numFmtId="0" fontId="0" fillId="7" borderId="52" xfId="0" applyFill="1" applyBorder="1" applyAlignment="1">
      <alignment horizontal="center" vertical="center"/>
    </xf>
    <xf numFmtId="0" fontId="3" fillId="7" borderId="2" xfId="0" applyFont="1" applyFill="1" applyBorder="1" applyAlignment="1">
      <alignment/>
    </xf>
    <xf numFmtId="0" fontId="0" fillId="7" borderId="17" xfId="0" applyFill="1" applyBorder="1" applyAlignment="1">
      <alignment horizontal="center" vertical="center"/>
    </xf>
    <xf numFmtId="0" fontId="0" fillId="7" borderId="2" xfId="0" applyFill="1" applyBorder="1" applyAlignment="1">
      <alignment horizontal="center" vertical="center"/>
    </xf>
    <xf numFmtId="0" fontId="3" fillId="7" borderId="3" xfId="0" applyFont="1" applyFill="1" applyBorder="1" applyAlignment="1">
      <alignment/>
    </xf>
    <xf numFmtId="0" fontId="3" fillId="7" borderId="3" xfId="0" applyFont="1" applyFill="1" applyBorder="1" applyAlignment="1">
      <alignment horizontal="center" vertical="center"/>
    </xf>
    <xf numFmtId="1" fontId="3" fillId="2" borderId="40" xfId="0" applyNumberFormat="1" applyFont="1" applyFill="1" applyBorder="1" applyAlignment="1">
      <alignment horizontal="center" vertical="center"/>
    </xf>
    <xf numFmtId="1" fontId="3" fillId="2" borderId="43" xfId="0" applyNumberFormat="1" applyFont="1" applyFill="1" applyBorder="1" applyAlignment="1">
      <alignment horizontal="center" vertical="center"/>
    </xf>
    <xf numFmtId="0" fontId="3" fillId="2" borderId="20" xfId="0" applyFont="1" applyFill="1" applyBorder="1" applyAlignment="1">
      <alignment horizontal="center" vertical="center"/>
    </xf>
    <xf numFmtId="0" fontId="3" fillId="2" borderId="27" xfId="0" applyFont="1" applyFill="1" applyBorder="1" applyAlignment="1">
      <alignment horizontal="center" vertical="center" wrapText="1"/>
    </xf>
    <xf numFmtId="2" fontId="3" fillId="2" borderId="19" xfId="0" applyNumberFormat="1" applyFont="1" applyFill="1" applyBorder="1" applyAlignment="1">
      <alignment horizontal="center" vertical="center"/>
    </xf>
    <xf numFmtId="2" fontId="0" fillId="2" borderId="19" xfId="0" applyNumberFormat="1" applyFont="1" applyFill="1" applyBorder="1" applyAlignment="1">
      <alignment horizontal="center" vertical="center"/>
    </xf>
    <xf numFmtId="2" fontId="3" fillId="2" borderId="31" xfId="0" applyNumberFormat="1" applyFont="1" applyFill="1" applyBorder="1" applyAlignment="1">
      <alignment horizontal="center" vertical="center"/>
    </xf>
    <xf numFmtId="0" fontId="3" fillId="2" borderId="38" xfId="0" applyFont="1" applyFill="1" applyBorder="1" applyAlignment="1">
      <alignment/>
    </xf>
    <xf numFmtId="1" fontId="3" fillId="2" borderId="38" xfId="0" applyNumberFormat="1" applyFont="1" applyFill="1" applyBorder="1" applyAlignment="1">
      <alignment horizontal="center" vertical="center"/>
    </xf>
    <xf numFmtId="0" fontId="21" fillId="2" borderId="0" xfId="0" applyFont="1" applyFill="1" applyBorder="1" applyAlignment="1">
      <alignment vertical="center"/>
    </xf>
    <xf numFmtId="2" fontId="3" fillId="2" borderId="47" xfId="0" applyNumberFormat="1" applyFont="1" applyFill="1" applyBorder="1" applyAlignment="1">
      <alignment horizontal="center" vertical="center"/>
    </xf>
    <xf numFmtId="2" fontId="3" fillId="2" borderId="49" xfId="0" applyNumberFormat="1" applyFont="1" applyFill="1" applyBorder="1" applyAlignment="1">
      <alignment horizontal="center" vertical="center" wrapText="1"/>
    </xf>
    <xf numFmtId="0" fontId="0" fillId="2" borderId="4" xfId="0" applyFill="1" applyBorder="1" applyAlignment="1">
      <alignment horizontal="left" vertical="center" wrapText="1"/>
    </xf>
    <xf numFmtId="1" fontId="23" fillId="2" borderId="4" xfId="0" applyNumberFormat="1" applyFont="1" applyFill="1" applyBorder="1" applyAlignment="1">
      <alignment horizontal="center" vertical="center"/>
    </xf>
    <xf numFmtId="173" fontId="23" fillId="2" borderId="4" xfId="0" applyNumberFormat="1" applyFont="1" applyFill="1" applyBorder="1" applyAlignment="1">
      <alignment horizontal="center" vertical="center"/>
    </xf>
    <xf numFmtId="173" fontId="0" fillId="2" borderId="4" xfId="0" applyNumberFormat="1" applyFont="1" applyFill="1" applyBorder="1" applyAlignment="1">
      <alignment horizontal="center" vertical="center"/>
    </xf>
    <xf numFmtId="1" fontId="0" fillId="2" borderId="17" xfId="0" applyNumberFormat="1" applyFont="1" applyFill="1" applyBorder="1" applyAlignment="1">
      <alignment horizontal="center" wrapText="1"/>
    </xf>
    <xf numFmtId="0" fontId="0" fillId="2" borderId="32" xfId="0" applyFill="1" applyBorder="1" applyAlignment="1">
      <alignment/>
    </xf>
    <xf numFmtId="0" fontId="1" fillId="2" borderId="48" xfId="0" applyFont="1" applyFill="1" applyBorder="1" applyAlignment="1">
      <alignment/>
    </xf>
    <xf numFmtId="173" fontId="1" fillId="2" borderId="15" xfId="0" applyNumberFormat="1" applyFont="1" applyFill="1" applyBorder="1" applyAlignment="1">
      <alignment/>
    </xf>
    <xf numFmtId="173" fontId="1" fillId="2" borderId="19" xfId="0" applyNumberFormat="1" applyFont="1" applyFill="1" applyBorder="1" applyAlignment="1">
      <alignment/>
    </xf>
    <xf numFmtId="173" fontId="1" fillId="2" borderId="31" xfId="0" applyNumberFormat="1" applyFont="1" applyFill="1" applyBorder="1" applyAlignment="1">
      <alignment/>
    </xf>
    <xf numFmtId="2" fontId="0" fillId="2" borderId="53" xfId="0" applyNumberFormat="1" applyFont="1" applyFill="1" applyBorder="1" applyAlignment="1">
      <alignment vertical="center"/>
    </xf>
    <xf numFmtId="2" fontId="0" fillId="2" borderId="30" xfId="0" applyNumberFormat="1" applyFont="1" applyFill="1" applyBorder="1" applyAlignment="1">
      <alignment vertical="center"/>
    </xf>
    <xf numFmtId="2" fontId="3" fillId="2" borderId="52" xfId="0" applyNumberFormat="1" applyFont="1" applyFill="1" applyBorder="1" applyAlignment="1">
      <alignment horizontal="center" vertical="center" wrapText="1"/>
    </xf>
    <xf numFmtId="2" fontId="3" fillId="2" borderId="3" xfId="0" applyNumberFormat="1" applyFont="1" applyFill="1" applyBorder="1" applyAlignment="1">
      <alignment horizontal="center" vertical="center"/>
    </xf>
    <xf numFmtId="2" fontId="0" fillId="2" borderId="3" xfId="0" applyNumberFormat="1" applyFont="1" applyFill="1" applyBorder="1" applyAlignment="1">
      <alignment horizontal="center" vertical="center"/>
    </xf>
    <xf numFmtId="2" fontId="3" fillId="2" borderId="4" xfId="0" applyNumberFormat="1" applyFont="1" applyFill="1" applyBorder="1" applyAlignment="1">
      <alignment horizontal="center" vertical="center"/>
    </xf>
    <xf numFmtId="2" fontId="3" fillId="2" borderId="43" xfId="0" applyNumberFormat="1" applyFont="1" applyFill="1" applyBorder="1" applyAlignment="1">
      <alignment horizontal="center" vertical="center"/>
    </xf>
    <xf numFmtId="0" fontId="0" fillId="2" borderId="2" xfId="0" applyFont="1" applyFill="1" applyBorder="1" applyAlignment="1">
      <alignment wrapText="1"/>
    </xf>
    <xf numFmtId="173" fontId="0" fillId="2" borderId="39" xfId="0" applyNumberFormat="1" applyFont="1" applyFill="1" applyBorder="1" applyAlignment="1">
      <alignment horizontal="center"/>
    </xf>
    <xf numFmtId="173" fontId="23" fillId="2" borderId="2" xfId="0" applyNumberFormat="1" applyFont="1" applyFill="1" applyBorder="1" applyAlignment="1">
      <alignment horizontal="center"/>
    </xf>
    <xf numFmtId="173" fontId="0" fillId="2" borderId="2" xfId="0" applyNumberFormat="1" applyFont="1" applyFill="1" applyBorder="1" applyAlignment="1">
      <alignment horizontal="center"/>
    </xf>
    <xf numFmtId="173" fontId="0" fillId="2" borderId="35" xfId="0" applyNumberFormat="1" applyFont="1" applyFill="1" applyBorder="1" applyAlignment="1">
      <alignment horizontal="center"/>
    </xf>
    <xf numFmtId="173" fontId="23" fillId="2" borderId="3" xfId="0" applyNumberFormat="1" applyFont="1" applyFill="1" applyBorder="1" applyAlignment="1">
      <alignment horizontal="center"/>
    </xf>
    <xf numFmtId="173" fontId="0" fillId="2" borderId="3" xfId="0" applyNumberFormat="1" applyFont="1" applyFill="1" applyBorder="1" applyAlignment="1">
      <alignment horizontal="center"/>
    </xf>
    <xf numFmtId="0" fontId="3" fillId="2" borderId="30" xfId="0" applyFont="1" applyFill="1" applyBorder="1" applyAlignment="1">
      <alignment vertical="center"/>
    </xf>
    <xf numFmtId="1" fontId="3" fillId="2" borderId="54" xfId="0" applyNumberFormat="1" applyFont="1" applyFill="1" applyBorder="1" applyAlignment="1">
      <alignment horizontal="center" vertical="center"/>
    </xf>
    <xf numFmtId="0" fontId="3" fillId="2" borderId="55" xfId="0" applyFont="1" applyFill="1" applyBorder="1" applyAlignment="1">
      <alignment/>
    </xf>
    <xf numFmtId="0" fontId="3" fillId="2" borderId="0" xfId="0" applyFont="1" applyFill="1" applyBorder="1" applyAlignment="1">
      <alignment horizontal="center" vertical="center" wrapText="1"/>
    </xf>
    <xf numFmtId="173" fontId="3" fillId="2" borderId="0" xfId="0" applyNumberFormat="1" applyFont="1" applyFill="1" applyBorder="1" applyAlignment="1">
      <alignment horizontal="center"/>
    </xf>
    <xf numFmtId="1" fontId="3" fillId="2" borderId="0" xfId="0" applyNumberFormat="1" applyFont="1" applyFill="1" applyBorder="1" applyAlignment="1">
      <alignment horizontal="center"/>
    </xf>
    <xf numFmtId="0" fontId="24" fillId="2" borderId="55" xfId="0" applyFont="1" applyFill="1" applyBorder="1" applyAlignment="1">
      <alignment/>
    </xf>
    <xf numFmtId="173" fontId="24" fillId="2" borderId="0" xfId="0" applyNumberFormat="1" applyFont="1" applyFill="1" applyBorder="1" applyAlignment="1">
      <alignment horizontal="center"/>
    </xf>
    <xf numFmtId="1" fontId="24" fillId="2" borderId="0" xfId="0" applyNumberFormat="1" applyFont="1" applyFill="1" applyBorder="1" applyAlignment="1">
      <alignment horizontal="center"/>
    </xf>
    <xf numFmtId="0" fontId="0" fillId="2" borderId="56" xfId="0" applyFill="1" applyBorder="1" applyAlignment="1">
      <alignment/>
    </xf>
    <xf numFmtId="0" fontId="3" fillId="2" borderId="44" xfId="0" applyFont="1" applyFill="1" applyBorder="1" applyAlignment="1">
      <alignment horizontal="center" vertical="center"/>
    </xf>
    <xf numFmtId="2" fontId="3" fillId="2" borderId="56" xfId="0" applyNumberFormat="1" applyFont="1" applyFill="1" applyBorder="1" applyAlignment="1">
      <alignment/>
    </xf>
    <xf numFmtId="0" fontId="3" fillId="2" borderId="57" xfId="0" applyFont="1" applyFill="1" applyBorder="1" applyAlignment="1">
      <alignment/>
    </xf>
    <xf numFmtId="2" fontId="3" fillId="2" borderId="54" xfId="0" applyNumberFormat="1" applyFont="1" applyFill="1" applyBorder="1" applyAlignment="1">
      <alignment/>
    </xf>
    <xf numFmtId="2" fontId="0" fillId="2" borderId="56" xfId="0" applyNumberFormat="1" applyFont="1" applyFill="1" applyBorder="1" applyAlignment="1">
      <alignment/>
    </xf>
    <xf numFmtId="173" fontId="23" fillId="2" borderId="1" xfId="0" applyNumberFormat="1" applyFont="1" applyFill="1" applyBorder="1" applyAlignment="1">
      <alignment horizontal="center"/>
    </xf>
    <xf numFmtId="173" fontId="0" fillId="2" borderId="1" xfId="0" applyNumberFormat="1" applyFont="1" applyFill="1" applyBorder="1" applyAlignment="1">
      <alignment horizontal="center"/>
    </xf>
    <xf numFmtId="0" fontId="4" fillId="2" borderId="6" xfId="20" applyFont="1" applyFill="1" applyBorder="1" applyAlignment="1">
      <alignment vertical="center" wrapText="1"/>
    </xf>
    <xf numFmtId="0" fontId="0" fillId="2" borderId="5" xfId="0" applyFill="1" applyBorder="1" applyAlignment="1">
      <alignment horizontal="left" vertical="center" wrapText="1"/>
    </xf>
    <xf numFmtId="0" fontId="0" fillId="2" borderId="52" xfId="0" applyFill="1" applyBorder="1" applyAlignment="1">
      <alignment vertical="center"/>
    </xf>
    <xf numFmtId="1" fontId="0" fillId="2" borderId="52" xfId="0" applyNumberFormat="1" applyFill="1" applyBorder="1" applyAlignment="1">
      <alignment horizontal="center" vertical="center"/>
    </xf>
    <xf numFmtId="0" fontId="0" fillId="2" borderId="7" xfId="0" applyFill="1" applyBorder="1" applyAlignment="1">
      <alignment horizontal="center"/>
    </xf>
    <xf numFmtId="173" fontId="0" fillId="2" borderId="0" xfId="0" applyNumberFormat="1" applyFill="1" applyAlignment="1">
      <alignment horizontal="center" vertical="center"/>
    </xf>
    <xf numFmtId="0" fontId="3" fillId="2" borderId="0" xfId="0" applyNumberFormat="1" applyFont="1" applyFill="1" applyAlignment="1">
      <alignment horizontal="right" vertical="center"/>
    </xf>
    <xf numFmtId="9" fontId="0" fillId="2" borderId="0" xfId="0" applyNumberFormat="1" applyFill="1" applyAlignment="1">
      <alignment horizontal="center" vertical="center"/>
    </xf>
    <xf numFmtId="1" fontId="3" fillId="2" borderId="15" xfId="0" applyNumberFormat="1" applyFont="1" applyFill="1" applyBorder="1" applyAlignment="1">
      <alignment horizontal="center"/>
    </xf>
    <xf numFmtId="0" fontId="3" fillId="2" borderId="30" xfId="0" applyFont="1" applyFill="1" applyBorder="1" applyAlignment="1">
      <alignment horizontal="left"/>
    </xf>
    <xf numFmtId="0" fontId="0" fillId="2" borderId="33" xfId="0" applyFill="1" applyBorder="1" applyAlignment="1">
      <alignment horizontal="center"/>
    </xf>
    <xf numFmtId="173" fontId="0" fillId="2" borderId="0" xfId="0" applyNumberFormat="1" applyFill="1" applyAlignment="1">
      <alignment/>
    </xf>
    <xf numFmtId="0" fontId="0" fillId="0" borderId="5" xfId="0" applyFont="1" applyBorder="1" applyAlignment="1">
      <alignment wrapText="1"/>
    </xf>
    <xf numFmtId="0" fontId="3" fillId="2" borderId="2" xfId="0" applyFont="1" applyFill="1" applyBorder="1" applyAlignment="1">
      <alignment horizontal="center" vertical="center"/>
    </xf>
    <xf numFmtId="0" fontId="3" fillId="7" borderId="7" xfId="0" applyFont="1" applyFill="1" applyBorder="1" applyAlignment="1">
      <alignment horizontal="center" vertical="center"/>
    </xf>
    <xf numFmtId="1" fontId="0" fillId="2" borderId="7" xfId="0" applyNumberFormat="1" applyFill="1" applyBorder="1" applyAlignment="1">
      <alignment horizontal="center" vertical="center"/>
    </xf>
    <xf numFmtId="173" fontId="0" fillId="2" borderId="9" xfId="0" applyNumberFormat="1" applyFill="1" applyBorder="1" applyAlignment="1">
      <alignment horizontal="center" vertical="center"/>
    </xf>
    <xf numFmtId="1" fontId="0" fillId="2" borderId="45" xfId="0" applyNumberFormat="1" applyFill="1" applyBorder="1" applyAlignment="1">
      <alignment horizontal="center" vertical="center"/>
    </xf>
    <xf numFmtId="1" fontId="0" fillId="2" borderId="9" xfId="0" applyNumberFormat="1" applyFill="1" applyBorder="1" applyAlignment="1">
      <alignment horizontal="center" vertical="center"/>
    </xf>
    <xf numFmtId="0" fontId="3" fillId="2" borderId="7" xfId="0" applyFont="1" applyFill="1" applyBorder="1" applyAlignment="1">
      <alignment horizontal="center" vertical="center"/>
    </xf>
    <xf numFmtId="1" fontId="3" fillId="2" borderId="7" xfId="0" applyNumberFormat="1" applyFont="1" applyFill="1" applyBorder="1" applyAlignment="1">
      <alignment horizontal="center" vertical="center"/>
    </xf>
    <xf numFmtId="0" fontId="3" fillId="2" borderId="18" xfId="0" applyFont="1" applyFill="1" applyBorder="1" applyAlignment="1">
      <alignment horizontal="center" vertical="center" wrapText="1"/>
    </xf>
    <xf numFmtId="2" fontId="3" fillId="2" borderId="45" xfId="0" applyNumberFormat="1" applyFont="1" applyFill="1" applyBorder="1" applyAlignment="1">
      <alignment horizontal="center" vertical="center" wrapText="1"/>
    </xf>
    <xf numFmtId="2" fontId="3" fillId="2" borderId="7" xfId="0" applyNumberFormat="1" applyFont="1" applyFill="1" applyBorder="1" applyAlignment="1">
      <alignment horizontal="center" vertical="center"/>
    </xf>
    <xf numFmtId="2" fontId="0" fillId="2" borderId="7" xfId="0" applyNumberFormat="1" applyFont="1" applyFill="1" applyBorder="1" applyAlignment="1">
      <alignment horizontal="center" vertical="center"/>
    </xf>
    <xf numFmtId="2" fontId="3" fillId="2" borderId="9" xfId="0" applyNumberFormat="1" applyFont="1" applyFill="1" applyBorder="1" applyAlignment="1">
      <alignment horizontal="center" vertical="center"/>
    </xf>
    <xf numFmtId="2" fontId="3" fillId="2" borderId="40" xfId="0" applyNumberFormat="1" applyFont="1" applyFill="1" applyBorder="1" applyAlignment="1">
      <alignment horizontal="center" vertical="center"/>
    </xf>
    <xf numFmtId="1" fontId="0" fillId="2" borderId="58" xfId="0" applyNumberFormat="1" applyFont="1" applyFill="1" applyBorder="1" applyAlignment="1">
      <alignment horizontal="center"/>
    </xf>
    <xf numFmtId="173" fontId="0" fillId="2" borderId="0" xfId="0" applyNumberFormat="1" applyFill="1" applyBorder="1" applyAlignment="1">
      <alignment horizontal="center"/>
    </xf>
    <xf numFmtId="173" fontId="23" fillId="2" borderId="0" xfId="0" applyNumberFormat="1" applyFont="1" applyFill="1" applyBorder="1" applyAlignment="1">
      <alignment horizontal="center"/>
    </xf>
    <xf numFmtId="173" fontId="0" fillId="2" borderId="0" xfId="0" applyNumberFormat="1" applyFont="1" applyFill="1" applyBorder="1" applyAlignment="1">
      <alignment horizontal="center"/>
    </xf>
    <xf numFmtId="0" fontId="3" fillId="2" borderId="11" xfId="0" applyFont="1" applyFill="1" applyBorder="1" applyAlignment="1">
      <alignment wrapText="1"/>
    </xf>
    <xf numFmtId="1" fontId="0" fillId="2" borderId="48" xfId="0" applyNumberFormat="1" applyFill="1" applyBorder="1" applyAlignment="1">
      <alignment horizontal="center"/>
    </xf>
    <xf numFmtId="0" fontId="10" fillId="5" borderId="1" xfId="0" applyFont="1" applyFill="1" applyBorder="1" applyAlignment="1">
      <alignment/>
    </xf>
    <xf numFmtId="0" fontId="10" fillId="4" borderId="1" xfId="0" applyFont="1" applyFill="1" applyBorder="1" applyAlignment="1">
      <alignment/>
    </xf>
    <xf numFmtId="14" fontId="31" fillId="3" borderId="21" xfId="0" applyNumberFormat="1" applyFont="1" applyFill="1" applyBorder="1" applyAlignment="1">
      <alignment/>
    </xf>
    <xf numFmtId="0" fontId="0" fillId="9" borderId="7" xfId="0" applyFill="1" applyBorder="1" applyAlignment="1">
      <alignment horizontal="center" vertical="center"/>
    </xf>
    <xf numFmtId="1" fontId="0" fillId="9" borderId="7" xfId="0" applyNumberFormat="1" applyFill="1" applyBorder="1" applyAlignment="1">
      <alignment horizontal="center" vertical="center"/>
    </xf>
    <xf numFmtId="2" fontId="0" fillId="9" borderId="7" xfId="0" applyNumberFormat="1" applyFill="1" applyBorder="1" applyAlignment="1">
      <alignment horizontal="center" vertical="center"/>
    </xf>
    <xf numFmtId="2" fontId="0" fillId="9" borderId="40" xfId="0" applyNumberFormat="1" applyFill="1" applyBorder="1" applyAlignment="1">
      <alignment horizontal="center" vertical="center"/>
    </xf>
    <xf numFmtId="173" fontId="0" fillId="9" borderId="7" xfId="0" applyNumberFormat="1" applyFill="1" applyBorder="1" applyAlignment="1">
      <alignment horizontal="center" vertical="center"/>
    </xf>
    <xf numFmtId="0" fontId="1" fillId="3" borderId="8" xfId="0" applyFont="1" applyFill="1" applyBorder="1" applyAlignment="1">
      <alignment horizontal="left" vertical="center" shrinkToFit="1"/>
    </xf>
    <xf numFmtId="0" fontId="1" fillId="3" borderId="9" xfId="0" applyFont="1" applyFill="1" applyBorder="1" applyAlignment="1">
      <alignment vertical="center"/>
    </xf>
    <xf numFmtId="0" fontId="1" fillId="3" borderId="10" xfId="0" applyFont="1" applyFill="1" applyBorder="1" applyAlignment="1">
      <alignment vertical="center"/>
    </xf>
    <xf numFmtId="0" fontId="1" fillId="3" borderId="21" xfId="0" applyFont="1" applyFill="1" applyBorder="1" applyAlignment="1">
      <alignment vertical="center"/>
    </xf>
    <xf numFmtId="0" fontId="0" fillId="10" borderId="7" xfId="0" applyFont="1" applyFill="1" applyBorder="1" applyAlignment="1">
      <alignment horizontal="center" vertical="center"/>
    </xf>
    <xf numFmtId="0" fontId="10" fillId="10" borderId="0" xfId="0" applyFont="1" applyFill="1" applyBorder="1" applyAlignment="1">
      <alignment/>
    </xf>
    <xf numFmtId="0" fontId="32" fillId="4" borderId="5" xfId="0" applyFont="1" applyFill="1" applyBorder="1" applyAlignment="1">
      <alignment/>
    </xf>
    <xf numFmtId="173" fontId="32" fillId="4" borderId="22" xfId="0" applyNumberFormat="1" applyFont="1" applyFill="1" applyBorder="1" applyAlignment="1">
      <alignment horizontal="center"/>
    </xf>
    <xf numFmtId="1" fontId="32" fillId="4" borderId="0" xfId="0" applyNumberFormat="1" applyFont="1" applyFill="1" applyBorder="1" applyAlignment="1">
      <alignment horizontal="center"/>
    </xf>
    <xf numFmtId="0" fontId="10" fillId="3" borderId="0" xfId="0" applyFont="1" applyFill="1" applyBorder="1" applyAlignment="1">
      <alignment horizontal="left"/>
    </xf>
    <xf numFmtId="0" fontId="10" fillId="3" borderId="8" xfId="0" applyFont="1" applyFill="1" applyBorder="1" applyAlignment="1">
      <alignment horizontal="left"/>
    </xf>
    <xf numFmtId="0" fontId="30" fillId="3" borderId="17" xfId="0" applyFont="1" applyFill="1" applyBorder="1" applyAlignment="1">
      <alignment horizontal="center"/>
    </xf>
    <xf numFmtId="0" fontId="30" fillId="3" borderId="18" xfId="0" applyFont="1" applyFill="1" applyBorder="1" applyAlignment="1">
      <alignment horizontal="center"/>
    </xf>
    <xf numFmtId="0" fontId="30" fillId="3" borderId="20" xfId="0" applyFont="1" applyFill="1" applyBorder="1" applyAlignment="1">
      <alignment/>
    </xf>
    <xf numFmtId="0" fontId="10" fillId="3" borderId="7" xfId="0" applyFont="1" applyFill="1" applyBorder="1" applyAlignment="1">
      <alignment horizontal="center"/>
    </xf>
    <xf numFmtId="0" fontId="10" fillId="3" borderId="0" xfId="0" applyFont="1" applyFill="1" applyBorder="1" applyAlignment="1">
      <alignment horizontal="center"/>
    </xf>
    <xf numFmtId="0" fontId="10" fillId="3" borderId="8" xfId="0" applyFont="1" applyFill="1" applyBorder="1" applyAlignment="1">
      <alignment horizontal="center"/>
    </xf>
    <xf numFmtId="0" fontId="14" fillId="2" borderId="38" xfId="0" applyFont="1" applyFill="1" applyBorder="1" applyAlignment="1">
      <alignment horizontal="center" vertical="center"/>
    </xf>
    <xf numFmtId="0" fontId="0" fillId="0" borderId="24" xfId="0" applyBorder="1" applyAlignment="1">
      <alignment horizontal="center" vertical="center"/>
    </xf>
    <xf numFmtId="0" fontId="0" fillId="2" borderId="15" xfId="0" applyFont="1" applyFill="1" applyBorder="1" applyAlignment="1">
      <alignment horizontal="center" vertical="center" wrapText="1"/>
    </xf>
    <xf numFmtId="0" fontId="0" fillId="0" borderId="31" xfId="0" applyFont="1" applyBorder="1" applyAlignment="1">
      <alignment horizontal="center" vertical="center" wrapText="1"/>
    </xf>
    <xf numFmtId="0" fontId="0" fillId="2" borderId="52" xfId="0" applyFill="1" applyBorder="1" applyAlignment="1">
      <alignment horizontal="center" wrapText="1"/>
    </xf>
    <xf numFmtId="0" fontId="0" fillId="0" borderId="43" xfId="0" applyBorder="1" applyAlignment="1">
      <alignment horizontal="center" wrapText="1"/>
    </xf>
    <xf numFmtId="0" fontId="1" fillId="3" borderId="17" xfId="0" applyFont="1" applyFill="1" applyBorder="1" applyAlignment="1">
      <alignment vertical="center"/>
    </xf>
    <xf numFmtId="0" fontId="1" fillId="3" borderId="18" xfId="0" applyFont="1" applyFill="1" applyBorder="1" applyAlignment="1">
      <alignment vertical="center"/>
    </xf>
    <xf numFmtId="0" fontId="1" fillId="3" borderId="20" xfId="0" applyFont="1" applyFill="1" applyBorder="1" applyAlignment="1">
      <alignment vertical="center"/>
    </xf>
    <xf numFmtId="0" fontId="1" fillId="3" borderId="7" xfId="0" applyFont="1" applyFill="1" applyBorder="1" applyAlignment="1">
      <alignment vertical="center" shrinkToFit="1"/>
    </xf>
    <xf numFmtId="0" fontId="1" fillId="3" borderId="0" xfId="0" applyFont="1" applyFill="1" applyBorder="1" applyAlignment="1">
      <alignment vertical="center" shrinkToFit="1"/>
    </xf>
    <xf numFmtId="0" fontId="1" fillId="3" borderId="8" xfId="0" applyFont="1" applyFill="1" applyBorder="1" applyAlignment="1">
      <alignment vertical="center" shrinkToFit="1"/>
    </xf>
    <xf numFmtId="0" fontId="1" fillId="3" borderId="7" xfId="0" applyFont="1" applyFill="1" applyBorder="1" applyAlignment="1">
      <alignment horizontal="left" vertical="center" shrinkToFit="1"/>
    </xf>
    <xf numFmtId="0" fontId="1" fillId="3" borderId="0" xfId="0" applyFont="1" applyFill="1" applyBorder="1" applyAlignment="1">
      <alignment horizontal="left" vertical="center" shrinkToFit="1"/>
    </xf>
    <xf numFmtId="0" fontId="3" fillId="2" borderId="25" xfId="0" applyFont="1" applyFill="1" applyBorder="1" applyAlignment="1">
      <alignment horizontal="center" vertical="center"/>
    </xf>
    <xf numFmtId="0" fontId="0" fillId="0" borderId="6" xfId="0" applyBorder="1" applyAlignment="1">
      <alignment horizontal="center" vertical="center"/>
    </xf>
    <xf numFmtId="0" fontId="3" fillId="2" borderId="0" xfId="0" applyFont="1" applyFill="1" applyBorder="1" applyAlignment="1">
      <alignment horizontal="center"/>
    </xf>
    <xf numFmtId="0" fontId="0" fillId="2" borderId="0" xfId="0" applyFill="1" applyBorder="1" applyAlignment="1">
      <alignment/>
    </xf>
    <xf numFmtId="0" fontId="1" fillId="3" borderId="17" xfId="0" applyFont="1" applyFill="1" applyBorder="1" applyAlignment="1">
      <alignment/>
    </xf>
    <xf numFmtId="0" fontId="1" fillId="3" borderId="18" xfId="0" applyFont="1" applyFill="1" applyBorder="1" applyAlignment="1">
      <alignment/>
    </xf>
    <xf numFmtId="0" fontId="1" fillId="3" borderId="20" xfId="0" applyFont="1" applyFill="1" applyBorder="1" applyAlignment="1">
      <alignment/>
    </xf>
    <xf numFmtId="0" fontId="1" fillId="3" borderId="9" xfId="0" applyFont="1" applyFill="1" applyBorder="1" applyAlignment="1">
      <alignment shrinkToFit="1"/>
    </xf>
    <xf numFmtId="0" fontId="1" fillId="3" borderId="10" xfId="0" applyFont="1" applyFill="1" applyBorder="1" applyAlignment="1">
      <alignment shrinkToFit="1"/>
    </xf>
    <xf numFmtId="0" fontId="1" fillId="3" borderId="21" xfId="0" applyFont="1" applyFill="1" applyBorder="1" applyAlignment="1">
      <alignment shrinkToFit="1"/>
    </xf>
    <xf numFmtId="0" fontId="3" fillId="2" borderId="10" xfId="0" applyFont="1" applyFill="1" applyBorder="1" applyAlignment="1">
      <alignment horizontal="center" shrinkToFit="1"/>
    </xf>
    <xf numFmtId="0" fontId="0" fillId="2" borderId="37" xfId="0" applyFont="1" applyFill="1" applyBorder="1" applyAlignment="1">
      <alignment horizontal="center"/>
    </xf>
    <xf numFmtId="0" fontId="0" fillId="2" borderId="51" xfId="0" applyFont="1" applyFill="1" applyBorder="1" applyAlignment="1">
      <alignment horizontal="center"/>
    </xf>
    <xf numFmtId="0" fontId="0" fillId="0" borderId="51" xfId="0" applyBorder="1" applyAlignment="1">
      <alignment/>
    </xf>
    <xf numFmtId="0" fontId="0" fillId="2" borderId="59" xfId="0" applyFont="1" applyFill="1" applyBorder="1" applyAlignment="1">
      <alignment horizontal="center"/>
    </xf>
    <xf numFmtId="0" fontId="0" fillId="0" borderId="26" xfId="0" applyBorder="1" applyAlignment="1">
      <alignment/>
    </xf>
    <xf numFmtId="0" fontId="1" fillId="2" borderId="0" xfId="0" applyFont="1" applyFill="1" applyBorder="1" applyAlignment="1">
      <alignment/>
    </xf>
    <xf numFmtId="0" fontId="0" fillId="0" borderId="0" xfId="0" applyBorder="1" applyAlignment="1">
      <alignment/>
    </xf>
    <xf numFmtId="0" fontId="1" fillId="3" borderId="7" xfId="0" applyFont="1" applyFill="1" applyBorder="1" applyAlignment="1">
      <alignment/>
    </xf>
    <xf numFmtId="0" fontId="1" fillId="3" borderId="0" xfId="0" applyFont="1" applyFill="1" applyBorder="1" applyAlignment="1">
      <alignment/>
    </xf>
    <xf numFmtId="0" fontId="1" fillId="3" borderId="8" xfId="0" applyFont="1" applyFill="1" applyBorder="1" applyAlignment="1">
      <alignment/>
    </xf>
    <xf numFmtId="0" fontId="0" fillId="2" borderId="0" xfId="0" applyFill="1" applyAlignment="1">
      <alignment/>
    </xf>
    <xf numFmtId="0" fontId="3" fillId="2" borderId="60" xfId="0" applyFont="1" applyFill="1" applyBorder="1" applyAlignment="1">
      <alignment horizontal="center"/>
    </xf>
    <xf numFmtId="0" fontId="3" fillId="2" borderId="61" xfId="0" applyFont="1" applyFill="1" applyBorder="1" applyAlignment="1">
      <alignment horizontal="center"/>
    </xf>
    <xf numFmtId="0" fontId="1" fillId="3" borderId="7"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0" fillId="0" borderId="20"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1" xfId="0" applyBorder="1" applyAlignment="1">
      <alignment horizontal="left" vertical="center" wrapText="1"/>
    </xf>
    <xf numFmtId="0" fontId="9" fillId="2" borderId="0" xfId="0" applyFont="1" applyFill="1" applyBorder="1" applyAlignment="1">
      <alignment horizontal="center"/>
    </xf>
    <xf numFmtId="0" fontId="9" fillId="0" borderId="0" xfId="0" applyFont="1" applyBorder="1" applyAlignment="1">
      <alignment/>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2"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Carbon Payback Time using Fossil Fuel Mix as the Counterfactural</a:t>
            </a:r>
          </a:p>
        </c:rich>
      </c:tx>
      <c:layout/>
      <c:spPr>
        <a:noFill/>
        <a:ln>
          <a:noFill/>
        </a:ln>
      </c:spPr>
    </c:title>
    <c:plotArea>
      <c:layout>
        <c:manualLayout>
          <c:xMode val="edge"/>
          <c:yMode val="edge"/>
          <c:x val="0.05725"/>
          <c:y val="0.05975"/>
          <c:w val="0.859"/>
          <c:h val="0.87025"/>
        </c:manualLayout>
      </c:layout>
      <c:barChart>
        <c:barDir val="col"/>
        <c:grouping val="clustered"/>
        <c:varyColors val="0"/>
        <c:ser>
          <c:idx val="0"/>
          <c:order val="0"/>
          <c:tx>
            <c:v>Payback</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dPt>
            <c:idx val="1"/>
            <c:invertIfNegative val="0"/>
            <c:spPr>
              <a:solidFill>
                <a:srgbClr val="FF0000"/>
              </a:solidFill>
            </c:spPr>
          </c:dPt>
          <c:dPt>
            <c:idx val="2"/>
            <c:invertIfNegative val="0"/>
            <c:spPr>
              <a:solidFill>
                <a:srgbClr val="00FF00"/>
              </a:solidFill>
            </c:spPr>
          </c:dPt>
          <c:dPt>
            <c:idx val="3"/>
            <c:invertIfNegative val="0"/>
            <c:spPr>
              <a:solidFill>
                <a:srgbClr val="333300"/>
              </a:solidFill>
            </c:spPr>
          </c:dPt>
          <c:dPt>
            <c:idx val="4"/>
            <c:invertIfNegative val="0"/>
            <c:spPr>
              <a:solidFill>
                <a:srgbClr val="993300"/>
              </a:solidFill>
            </c:spPr>
          </c:dPt>
          <c:dPt>
            <c:idx val="5"/>
            <c:invertIfNegative val="0"/>
            <c:spPr>
              <a:solidFill>
                <a:srgbClr val="CCFFFF"/>
              </a:solidFill>
            </c:spPr>
          </c:dPt>
          <c:dPt>
            <c:idx val="6"/>
            <c:invertIfNegative val="0"/>
            <c:spPr>
              <a:solidFill>
                <a:srgbClr val="99CC00"/>
              </a:solidFill>
            </c:spPr>
          </c:dPt>
          <c:dPt>
            <c:idx val="8"/>
            <c:invertIfNegative val="0"/>
            <c:spPr>
              <a:solidFill>
                <a:srgbClr val="C0C0C0"/>
              </a:solidFill>
            </c:spPr>
          </c:dPt>
          <c:cat>
            <c:strRef>
              <c:f>'Payback Time'!$B$38:$B$46</c:f>
              <c:strCache>
                <c:ptCount val="9"/>
                <c:pt idx="0">
                  <c:v>Turbine life</c:v>
                </c:pt>
                <c:pt idx="1">
                  <c:v>Backup</c:v>
                </c:pt>
                <c:pt idx="2">
                  <c:v>Bog plants</c:v>
                </c:pt>
                <c:pt idx="3">
                  <c:v>Forest felling</c:v>
                </c:pt>
                <c:pt idx="4">
                  <c:v>Soil organic carbon</c:v>
                </c:pt>
                <c:pt idx="5">
                  <c:v>Dissolved and particulate organic carbon</c:v>
                </c:pt>
                <c:pt idx="6">
                  <c:v>Improved degraded bogs</c:v>
                </c:pt>
                <c:pt idx="7">
                  <c:v>Improved felled forestry</c:v>
                </c:pt>
                <c:pt idx="8">
                  <c:v>Restored borrow pits</c:v>
                </c:pt>
              </c:strCache>
            </c:strRef>
          </c:cat>
          <c:val>
            <c:numRef>
              <c:f>'Payback Time'!$D$38:$D$46</c:f>
              <c:numCache>
                <c:ptCount val="9"/>
                <c:pt idx="0">
                  <c:v>1.6265503841952131</c:v>
                </c:pt>
                <c:pt idx="1">
                  <c:v>3.3333333333333326</c:v>
                </c:pt>
                <c:pt idx="2">
                  <c:v>16.543478927240336</c:v>
                </c:pt>
                <c:pt idx="3">
                  <c:v>0</c:v>
                </c:pt>
                <c:pt idx="4">
                  <c:v>494.413623480607</c:v>
                </c:pt>
                <c:pt idx="5">
                  <c:v>60.997806045683916</c:v>
                </c:pt>
                <c:pt idx="6">
                  <c:v>-1.417377465613035</c:v>
                </c:pt>
                <c:pt idx="7">
                  <c:v>0</c:v>
                </c:pt>
                <c:pt idx="8">
                  <c:v>-0.07703892706716911</c:v>
                </c:pt>
              </c:numCache>
            </c:numRef>
          </c:val>
        </c:ser>
        <c:gapWidth val="25"/>
        <c:axId val="30418177"/>
        <c:axId val="5328138"/>
      </c:barChart>
      <c:catAx>
        <c:axId val="30418177"/>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5328138"/>
        <c:crosses val="autoZero"/>
        <c:auto val="1"/>
        <c:lblOffset val="100"/>
        <c:noMultiLvlLbl val="0"/>
      </c:catAx>
      <c:valAx>
        <c:axId val="5328138"/>
        <c:scaling>
          <c:orientation val="minMax"/>
        </c:scaling>
        <c:axPos val="l"/>
        <c:title>
          <c:tx>
            <c:rich>
              <a:bodyPr vert="horz" rot="-5400000" anchor="ctr"/>
              <a:lstStyle/>
              <a:p>
                <a:pPr algn="ctr">
                  <a:defRPr/>
                </a:pPr>
                <a:r>
                  <a:rPr lang="en-US" cap="none" sz="825" b="0" i="0" u="none" baseline="0">
                    <a:latin typeface="Arial"/>
                    <a:ea typeface="Arial"/>
                    <a:cs typeface="Arial"/>
                  </a:rPr>
                  <a:t>Carbon Payback Time (months) .</a:t>
                </a:r>
              </a:p>
            </c:rich>
          </c:tx>
          <c:layout/>
          <c:overlay val="0"/>
          <c:spPr>
            <a:noFill/>
            <a:ln>
              <a:noFill/>
            </a:ln>
          </c:spPr>
        </c:title>
        <c:delete val="0"/>
        <c:numFmt formatCode="General" sourceLinked="1"/>
        <c:majorTickMark val="out"/>
        <c:minorTickMark val="none"/>
        <c:tickLblPos val="nextTo"/>
        <c:crossAx val="30418177"/>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Arial"/>
                <a:ea typeface="Arial"/>
                <a:cs typeface="Arial"/>
              </a:rPr>
              <a:t>Greenhouse Gas Emissions associated with Wind Farm Development</a:t>
            </a:r>
          </a:p>
        </c:rich>
      </c:tx>
      <c:layout/>
      <c:spPr>
        <a:noFill/>
        <a:ln>
          <a:noFill/>
        </a:ln>
      </c:spPr>
    </c:title>
    <c:plotArea>
      <c:layout>
        <c:manualLayout>
          <c:xMode val="edge"/>
          <c:yMode val="edge"/>
          <c:x val="0.05175"/>
          <c:y val="0.05675"/>
          <c:w val="0.86025"/>
          <c:h val="0.89025"/>
        </c:manualLayout>
      </c:layout>
      <c:barChart>
        <c:barDir val="col"/>
        <c:grouping val="clustered"/>
        <c:varyColors val="0"/>
        <c:ser>
          <c:idx val="0"/>
          <c:order val="0"/>
          <c:tx>
            <c:v>Payback</c:v>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FF00"/>
              </a:solidFill>
            </c:spPr>
          </c:dPt>
          <c:dPt>
            <c:idx val="1"/>
            <c:invertIfNegative val="0"/>
            <c:spPr>
              <a:solidFill>
                <a:srgbClr val="FF0000"/>
              </a:solidFill>
            </c:spPr>
          </c:dPt>
          <c:dPt>
            <c:idx val="2"/>
            <c:invertIfNegative val="0"/>
            <c:spPr>
              <a:solidFill>
                <a:srgbClr val="00FF00"/>
              </a:solidFill>
            </c:spPr>
          </c:dPt>
          <c:dPt>
            <c:idx val="3"/>
            <c:invertIfNegative val="0"/>
            <c:spPr>
              <a:solidFill>
                <a:srgbClr val="333300"/>
              </a:solidFill>
            </c:spPr>
          </c:dPt>
          <c:dPt>
            <c:idx val="4"/>
            <c:invertIfNegative val="0"/>
            <c:spPr>
              <a:solidFill>
                <a:srgbClr val="993300"/>
              </a:solidFill>
            </c:spPr>
          </c:dPt>
          <c:dPt>
            <c:idx val="5"/>
            <c:invertIfNegative val="0"/>
            <c:spPr>
              <a:solidFill>
                <a:srgbClr val="CCFFFF"/>
              </a:solidFill>
            </c:spPr>
          </c:dPt>
          <c:dPt>
            <c:idx val="6"/>
            <c:invertIfNegative val="0"/>
            <c:spPr>
              <a:solidFill>
                <a:srgbClr val="99CC00"/>
              </a:solidFill>
            </c:spPr>
          </c:dPt>
          <c:dPt>
            <c:idx val="8"/>
            <c:invertIfNegative val="0"/>
            <c:spPr>
              <a:solidFill>
                <a:srgbClr val="C0C0C0"/>
              </a:solidFill>
            </c:spPr>
          </c:dPt>
          <c:cat>
            <c:strRef>
              <c:f>'Payback Time'!$B$38:$B$46</c:f>
              <c:strCache>
                <c:ptCount val="9"/>
                <c:pt idx="0">
                  <c:v>Turbine life</c:v>
                </c:pt>
                <c:pt idx="1">
                  <c:v>Backup</c:v>
                </c:pt>
                <c:pt idx="2">
                  <c:v>Bog plants</c:v>
                </c:pt>
                <c:pt idx="3">
                  <c:v>Forest felling</c:v>
                </c:pt>
                <c:pt idx="4">
                  <c:v>Soil organic carbon</c:v>
                </c:pt>
                <c:pt idx="5">
                  <c:v>Dissolved and particulate organic carbon</c:v>
                </c:pt>
                <c:pt idx="6">
                  <c:v>Improved degraded bogs</c:v>
                </c:pt>
                <c:pt idx="7">
                  <c:v>Improved felled forestry</c:v>
                </c:pt>
                <c:pt idx="8">
                  <c:v>Restored borrow pits</c:v>
                </c:pt>
              </c:strCache>
            </c:strRef>
          </c:cat>
          <c:val>
            <c:numRef>
              <c:f>'Payback Time'!$C$38:$C$46</c:f>
              <c:numCache>
                <c:ptCount val="9"/>
                <c:pt idx="0">
                  <c:v>175140.00000000003</c:v>
                </c:pt>
                <c:pt idx="1">
                  <c:v>358919.1</c:v>
                </c:pt>
                <c:pt idx="2">
                  <c:v>1781331.17023022</c:v>
                </c:pt>
                <c:pt idx="3">
                  <c:v>0</c:v>
                </c:pt>
                <c:pt idx="4">
                  <c:v>53236347.8302195</c:v>
                </c:pt>
                <c:pt idx="5">
                  <c:v>6567983.294367429</c:v>
                </c:pt>
                <c:pt idx="6">
                  <c:v>-152617.1532954334</c:v>
                </c:pt>
                <c:pt idx="7">
                  <c:v>0</c:v>
                </c:pt>
                <c:pt idx="8">
                  <c:v>-8295.222710374193</c:v>
                </c:pt>
              </c:numCache>
            </c:numRef>
          </c:val>
        </c:ser>
        <c:gapWidth val="25"/>
        <c:axId val="47953243"/>
        <c:axId val="28926004"/>
      </c:barChart>
      <c:catAx>
        <c:axId val="47953243"/>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28926004"/>
        <c:crosses val="autoZero"/>
        <c:auto val="1"/>
        <c:lblOffset val="100"/>
        <c:noMultiLvlLbl val="0"/>
      </c:catAx>
      <c:valAx>
        <c:axId val="28926004"/>
        <c:scaling>
          <c:orientation val="minMax"/>
        </c:scaling>
        <c:axPos val="l"/>
        <c:title>
          <c:tx>
            <c:rich>
              <a:bodyPr vert="horz" rot="-5400000" anchor="ctr"/>
              <a:lstStyle/>
              <a:p>
                <a:pPr algn="ctr">
                  <a:defRPr/>
                </a:pPr>
                <a:r>
                  <a:rPr lang="en-US" cap="none" sz="825" b="0" i="0" u="none" baseline="0">
                    <a:latin typeface="Arial"/>
                    <a:ea typeface="Arial"/>
                    <a:cs typeface="Arial"/>
                  </a:rPr>
                  <a:t>Greenhouse Gas Emissions (t CO</a:t>
                </a:r>
                <a:r>
                  <a:rPr lang="en-US" cap="none" sz="825" b="0" i="0" u="none" baseline="-25000">
                    <a:latin typeface="Arial"/>
                    <a:ea typeface="Arial"/>
                    <a:cs typeface="Arial"/>
                  </a:rPr>
                  <a:t>2</a:t>
                </a:r>
                <a:r>
                  <a:rPr lang="en-US" cap="none" sz="825" b="0" i="0" u="none" baseline="0">
                    <a:latin typeface="Arial"/>
                    <a:ea typeface="Arial"/>
                    <a:cs typeface="Arial"/>
                  </a:rPr>
                  <a:t> eq.)</a:t>
                </a:r>
              </a:p>
            </c:rich>
          </c:tx>
          <c:layout/>
          <c:overlay val="0"/>
          <c:spPr>
            <a:noFill/>
            <a:ln>
              <a:noFill/>
            </a:ln>
          </c:spPr>
        </c:title>
        <c:delete val="0"/>
        <c:numFmt formatCode="General" sourceLinked="1"/>
        <c:majorTickMark val="out"/>
        <c:minorTickMark val="none"/>
        <c:tickLblPos val="nextTo"/>
        <c:crossAx val="47953243"/>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55</xdr:row>
      <xdr:rowOff>114300</xdr:rowOff>
    </xdr:from>
    <xdr:to>
      <xdr:col>10</xdr:col>
      <xdr:colOff>190500</xdr:colOff>
      <xdr:row>59</xdr:row>
      <xdr:rowOff>28575</xdr:rowOff>
    </xdr:to>
    <xdr:sp>
      <xdr:nvSpPr>
        <xdr:cNvPr id="1" name="Rectangle 1"/>
        <xdr:cNvSpPr>
          <a:spLocks/>
        </xdr:cNvSpPr>
      </xdr:nvSpPr>
      <xdr:spPr>
        <a:xfrm>
          <a:off x="7267575" y="11039475"/>
          <a:ext cx="2590800" cy="5619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Total length of access track</a:t>
          </a:r>
          <a:r>
            <a:rPr lang="en-US" cap="none" sz="800" b="0" i="0" u="none" baseline="0">
              <a:latin typeface="Arial"/>
              <a:ea typeface="Arial"/>
              <a:cs typeface="Arial"/>
            </a:rPr>
            <a:t>. If areas of access track overlap with hardstanding area, exclude these from the total length of access track to avoid double counting of land area lost.</a:t>
          </a:r>
        </a:p>
      </xdr:txBody>
    </xdr:sp>
    <xdr:clientData/>
  </xdr:twoCellAnchor>
  <xdr:twoCellAnchor>
    <xdr:from>
      <xdr:col>6</xdr:col>
      <xdr:colOff>142875</xdr:colOff>
      <xdr:row>62</xdr:row>
      <xdr:rowOff>38100</xdr:rowOff>
    </xdr:from>
    <xdr:to>
      <xdr:col>10</xdr:col>
      <xdr:colOff>200025</xdr:colOff>
      <xdr:row>64</xdr:row>
      <xdr:rowOff>152400</xdr:rowOff>
    </xdr:to>
    <xdr:sp>
      <xdr:nvSpPr>
        <xdr:cNvPr id="2" name="Rectangle 21"/>
        <xdr:cNvSpPr>
          <a:spLocks/>
        </xdr:cNvSpPr>
      </xdr:nvSpPr>
      <xdr:spPr>
        <a:xfrm>
          <a:off x="7277100" y="12096750"/>
          <a:ext cx="2590800" cy="4381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Rock filled roads.</a:t>
          </a:r>
          <a:r>
            <a:rPr lang="en-US" cap="none" sz="800" b="0" i="0" u="none" baseline="0">
              <a:latin typeface="Arial"/>
              <a:ea typeface="Arial"/>
              <a:cs typeface="Arial"/>
            </a:rPr>
            <a:t> Rock filled roads are assumed to be roads where no peat has been removed and rock has been placed on the surface and allowed to settle. </a:t>
          </a:r>
        </a:p>
      </xdr:txBody>
    </xdr:sp>
    <xdr:clientData/>
  </xdr:twoCellAnchor>
  <xdr:twoCellAnchor>
    <xdr:from>
      <xdr:col>6</xdr:col>
      <xdr:colOff>133350</xdr:colOff>
      <xdr:row>0</xdr:row>
      <xdr:rowOff>38100</xdr:rowOff>
    </xdr:from>
    <xdr:to>
      <xdr:col>10</xdr:col>
      <xdr:colOff>200025</xdr:colOff>
      <xdr:row>7</xdr:row>
      <xdr:rowOff>161925</xdr:rowOff>
    </xdr:to>
    <xdr:sp>
      <xdr:nvSpPr>
        <xdr:cNvPr id="3" name="TextBox 23"/>
        <xdr:cNvSpPr txBox="1">
          <a:spLocks noChangeArrowheads="1"/>
        </xdr:cNvSpPr>
      </xdr:nvSpPr>
      <xdr:spPr>
        <a:xfrm>
          <a:off x="7267575" y="38100"/>
          <a:ext cx="2600325" cy="11620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Capacity factor</a:t>
          </a:r>
          <a:r>
            <a:rPr lang="en-US" cap="none" sz="800" b="0" i="0" u="none" baseline="0">
              <a:latin typeface="Arial"/>
              <a:ea typeface="Arial"/>
              <a:cs typeface="Arial"/>
            </a:rPr>
            <a:t>. The average capacity factor between 1998 and 2004 for Scotland was 30% (</a:t>
          </a:r>
          <a:r>
            <a:rPr lang="en-US" cap="none" sz="600" b="0" i="0" u="none" baseline="0">
              <a:latin typeface="Arial"/>
              <a:ea typeface="Arial"/>
              <a:cs typeface="Arial"/>
            </a:rPr>
            <a:t>DTI, 2006, Energy Trends, March 2006</a:t>
          </a:r>
          <a:r>
            <a:rPr lang="en-US" cap="none" sz="800" b="0" i="0" u="none" baseline="0">
              <a:latin typeface="Arial"/>
              <a:ea typeface="Arial"/>
              <a:cs typeface="Arial"/>
            </a:rPr>
            <a:t>). We recommend that a site-specific capacity factor site should be used (as measured during planning stage). However, if this is unknown, the best (34%) and worst case capacity factors for Scotland (27%) should be used to determine the likely range of the results . </a:t>
          </a:r>
        </a:p>
      </xdr:txBody>
    </xdr:sp>
    <xdr:clientData/>
  </xdr:twoCellAnchor>
  <xdr:twoCellAnchor>
    <xdr:from>
      <xdr:col>6</xdr:col>
      <xdr:colOff>133350</xdr:colOff>
      <xdr:row>8</xdr:row>
      <xdr:rowOff>19050</xdr:rowOff>
    </xdr:from>
    <xdr:to>
      <xdr:col>10</xdr:col>
      <xdr:colOff>200025</xdr:colOff>
      <xdr:row>14</xdr:row>
      <xdr:rowOff>66675</xdr:rowOff>
    </xdr:to>
    <xdr:sp>
      <xdr:nvSpPr>
        <xdr:cNvPr id="4" name="TextBox 25"/>
        <xdr:cNvSpPr txBox="1">
          <a:spLocks noChangeArrowheads="1"/>
        </xdr:cNvSpPr>
      </xdr:nvSpPr>
      <xdr:spPr>
        <a:xfrm>
          <a:off x="7267575" y="1228725"/>
          <a:ext cx="2600325" cy="10191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Extra capaticity required for backup</a:t>
          </a:r>
          <a:r>
            <a:rPr lang="en-US" cap="none" sz="800" b="0" i="0" u="none" baseline="0">
              <a:latin typeface="Arial"/>
              <a:ea typeface="Arial"/>
              <a:cs typeface="Arial"/>
            </a:rPr>
            <a:t>. If 20% of national electricity is generated by wind energy, the extra capacity required for backup is 5% of the rated capacity of the wind plant (</a:t>
          </a:r>
          <a:r>
            <a:rPr lang="en-US" cap="none" sz="600" b="0" i="0" u="none" baseline="0">
              <a:latin typeface="Arial"/>
              <a:ea typeface="Arial"/>
              <a:cs typeface="Arial"/>
            </a:rPr>
            <a:t>Dale et al 2004, Energy Policy, 32, 1949-56</a:t>
          </a:r>
          <a:r>
            <a:rPr lang="en-US" cap="none" sz="800" b="0" i="0" u="none" baseline="0">
              <a:latin typeface="Arial"/>
              <a:ea typeface="Arial"/>
              <a:cs typeface="Arial"/>
            </a:rPr>
            <a:t>). We suggest this should be 5% of the actual output. If it is assumed that less than 20% of national electricity is generated by wind energy, a lower percentage should be entered (0%).</a:t>
          </a:r>
        </a:p>
      </xdr:txBody>
    </xdr:sp>
    <xdr:clientData/>
  </xdr:twoCellAnchor>
  <xdr:twoCellAnchor>
    <xdr:from>
      <xdr:col>6</xdr:col>
      <xdr:colOff>133350</xdr:colOff>
      <xdr:row>17</xdr:row>
      <xdr:rowOff>142875</xdr:rowOff>
    </xdr:from>
    <xdr:to>
      <xdr:col>10</xdr:col>
      <xdr:colOff>200025</xdr:colOff>
      <xdr:row>19</xdr:row>
      <xdr:rowOff>561975</xdr:rowOff>
    </xdr:to>
    <xdr:sp>
      <xdr:nvSpPr>
        <xdr:cNvPr id="5" name="TextBox 27"/>
        <xdr:cNvSpPr txBox="1">
          <a:spLocks noChangeArrowheads="1"/>
        </xdr:cNvSpPr>
      </xdr:nvSpPr>
      <xdr:spPr>
        <a:xfrm>
          <a:off x="7267575" y="2809875"/>
          <a:ext cx="2600325" cy="12287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Emissions from turbine life</a:t>
          </a:r>
          <a:r>
            <a:rPr lang="en-US" cap="none" sz="800" b="0" i="0" u="none" baseline="0">
              <a:latin typeface="Arial"/>
              <a:ea typeface="Arial"/>
              <a:cs typeface="Arial"/>
            </a:rPr>
            <a:t>. Note, if total emissions for the windfarm are unknown, emissions will be calculated according to turbine capacity. The normal range of CO</a:t>
          </a:r>
          <a:r>
            <a:rPr lang="en-US" cap="none" sz="800" b="0" i="0" u="none" baseline="-25000">
              <a:latin typeface="Arial"/>
              <a:ea typeface="Arial"/>
              <a:cs typeface="Arial"/>
            </a:rPr>
            <a:t>2</a:t>
          </a:r>
          <a:r>
            <a:rPr lang="en-US" cap="none" sz="800" b="0" i="0" u="none" baseline="0">
              <a:latin typeface="Arial"/>
              <a:ea typeface="Arial"/>
              <a:cs typeface="Arial"/>
            </a:rPr>
            <a:t> emissions is 394 to 8147 t CO</a:t>
          </a:r>
          <a:r>
            <a:rPr lang="en-US" cap="none" sz="800" b="0" i="0" u="none" baseline="-25000">
              <a:latin typeface="Arial"/>
              <a:ea typeface="Arial"/>
              <a:cs typeface="Arial"/>
            </a:rPr>
            <a:t>2</a:t>
          </a:r>
          <a:r>
            <a:rPr lang="en-US" cap="none" sz="800" b="0" i="0" u="none" baseline="0">
              <a:latin typeface="Arial"/>
              <a:ea typeface="Arial"/>
              <a:cs typeface="Arial"/>
            </a:rPr>
            <a:t> MW</a:t>
          </a:r>
          <a:r>
            <a:rPr lang="en-US" cap="none" sz="800" b="0" i="0" u="none" baseline="30000">
              <a:latin typeface="Arial"/>
              <a:ea typeface="Arial"/>
              <a:cs typeface="Arial"/>
            </a:rPr>
            <a:t> </a:t>
          </a:r>
          <a:r>
            <a:rPr lang="en-US" cap="none" sz="800" b="0" i="0" u="none" baseline="0">
              <a:latin typeface="Arial"/>
              <a:ea typeface="Arial"/>
              <a:cs typeface="Arial"/>
            </a:rPr>
            <a:t>(</a:t>
          </a:r>
          <a:r>
            <a:rPr lang="en-US" cap="none" sz="600" b="0" i="0" u="none" baseline="0">
              <a:latin typeface="Arial"/>
              <a:ea typeface="Arial"/>
              <a:cs typeface="Arial"/>
            </a:rPr>
            <a:t>White &amp; Kulcinski, 2000. Fusion Eng. Des. 48, 473-48;  White, 2007, Natural Resources Research. 15, 271 - 281.</a:t>
          </a:r>
          <a:r>
            <a:rPr lang="en-US" cap="none" sz="800" b="0" i="0" u="none" baseline="0">
              <a:latin typeface="Arial"/>
              <a:ea typeface="Arial"/>
              <a:cs typeface="Arial"/>
            </a:rPr>
            <a:t>) </a:t>
          </a:r>
        </a:p>
      </xdr:txBody>
    </xdr:sp>
    <xdr:clientData/>
  </xdr:twoCellAnchor>
  <xdr:twoCellAnchor>
    <xdr:from>
      <xdr:col>6</xdr:col>
      <xdr:colOff>133350</xdr:colOff>
      <xdr:row>21</xdr:row>
      <xdr:rowOff>238125</xdr:rowOff>
    </xdr:from>
    <xdr:to>
      <xdr:col>10</xdr:col>
      <xdr:colOff>180975</xdr:colOff>
      <xdr:row>31</xdr:row>
      <xdr:rowOff>85725</xdr:rowOff>
    </xdr:to>
    <xdr:sp>
      <xdr:nvSpPr>
        <xdr:cNvPr id="6" name="TextBox 29"/>
        <xdr:cNvSpPr txBox="1">
          <a:spLocks noChangeArrowheads="1"/>
        </xdr:cNvSpPr>
      </xdr:nvSpPr>
      <xdr:spPr>
        <a:xfrm>
          <a:off x="7267575" y="4648200"/>
          <a:ext cx="2581275" cy="19240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Time required for regeneration of previous habitat</a:t>
          </a:r>
          <a:r>
            <a:rPr lang="en-US" cap="none" sz="800" b="0" i="0" u="none" baseline="0">
              <a:latin typeface="Arial"/>
              <a:ea typeface="Arial"/>
              <a:cs typeface="Arial"/>
            </a:rPr>
            <a:t>. It is suggested that loss of fixation should be assumed to be over lifetime of windfarm only.
</a:t>
          </a:r>
          <a:r>
            <a:rPr lang="en-US" cap="none" sz="800" b="1" i="0" u="none" baseline="0">
              <a:latin typeface="Arial"/>
              <a:ea typeface="Arial"/>
              <a:cs typeface="Arial"/>
            </a:rPr>
            <a:t>This time could longer</a:t>
          </a:r>
          <a:r>
            <a:rPr lang="en-US" cap="none" sz="800" b="0" i="0" u="none" baseline="0">
              <a:latin typeface="Arial"/>
              <a:ea typeface="Arial"/>
              <a:cs typeface="Arial"/>
            </a:rPr>
            <a:t> if plants do not regenerate. The requirements for after-use planning include the provision of suitable refugia for peat forming vegetation, the removal of structures, or an assessment of the impact of leaving them in situ. Methods used to reinstatement the site will affect to likely time for regeneration of the previous habitat. 
</a:t>
          </a:r>
          <a:r>
            <a:rPr lang="en-US" cap="none" sz="800" b="1" i="0" u="none" baseline="0">
              <a:latin typeface="Arial"/>
              <a:ea typeface="Arial"/>
              <a:cs typeface="Arial"/>
            </a:rPr>
            <a:t>This time could also be shorter</a:t>
          </a:r>
          <a:r>
            <a:rPr lang="en-US" cap="none" sz="800" b="0" i="0" u="none" baseline="0">
              <a:latin typeface="Arial"/>
              <a:ea typeface="Arial"/>
              <a:cs typeface="Arial"/>
            </a:rPr>
            <a:t> if plants regenerate during lifetime of windfarm. If so, enter number of years estimated for regeneration.</a:t>
          </a:r>
        </a:p>
      </xdr:txBody>
    </xdr:sp>
    <xdr:clientData/>
  </xdr:twoCellAnchor>
  <xdr:twoCellAnchor>
    <xdr:from>
      <xdr:col>6</xdr:col>
      <xdr:colOff>133350</xdr:colOff>
      <xdr:row>31</xdr:row>
      <xdr:rowOff>123825</xdr:rowOff>
    </xdr:from>
    <xdr:to>
      <xdr:col>10</xdr:col>
      <xdr:colOff>190500</xdr:colOff>
      <xdr:row>34</xdr:row>
      <xdr:rowOff>180975</xdr:rowOff>
    </xdr:to>
    <xdr:sp>
      <xdr:nvSpPr>
        <xdr:cNvPr id="7" name="TextBox 31"/>
        <xdr:cNvSpPr txBox="1">
          <a:spLocks noChangeArrowheads="1"/>
        </xdr:cNvSpPr>
      </xdr:nvSpPr>
      <xdr:spPr>
        <a:xfrm>
          <a:off x="7267575" y="6610350"/>
          <a:ext cx="2590800" cy="7524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Carbon fixation by bog plants</a:t>
          </a:r>
          <a:r>
            <a:rPr lang="en-US" cap="none" sz="800" b="0" i="0" u="none" baseline="0">
              <a:latin typeface="Arial"/>
              <a:ea typeface="Arial"/>
              <a:cs typeface="Arial"/>
            </a:rPr>
            <a:t>.  Apparent C accumulation rate in peatland is 0.12 to 0.31 tC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r>
            <a:rPr lang="en-US" cap="none" sz="600" b="0" i="0" u="none" baseline="0">
              <a:latin typeface="Arial"/>
              <a:ea typeface="Arial"/>
              <a:cs typeface="Arial"/>
            </a:rPr>
            <a:t>Turunen et al., 2001, Global Biogeochemical Cycles, 15, 285-296; Botch et al., 1995, Global Biogeochemical Cycles, 9, 37-46</a:t>
          </a:r>
          <a:r>
            <a:rPr lang="en-US" cap="none" sz="800" b="0" i="0" u="none" baseline="0">
              <a:latin typeface="Arial"/>
              <a:ea typeface="Arial"/>
              <a:cs typeface="Arial"/>
            </a:rPr>
            <a:t>). The SNH guidance uses a value of 0.25 tC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6</xdr:col>
      <xdr:colOff>142875</xdr:colOff>
      <xdr:row>69</xdr:row>
      <xdr:rowOff>247650</xdr:rowOff>
    </xdr:from>
    <xdr:to>
      <xdr:col>10</xdr:col>
      <xdr:colOff>200025</xdr:colOff>
      <xdr:row>72</xdr:row>
      <xdr:rowOff>447675</xdr:rowOff>
    </xdr:to>
    <xdr:sp>
      <xdr:nvSpPr>
        <xdr:cNvPr id="8" name="Rectangle 34"/>
        <xdr:cNvSpPr>
          <a:spLocks/>
        </xdr:cNvSpPr>
      </xdr:nvSpPr>
      <xdr:spPr>
        <a:xfrm>
          <a:off x="7277100" y="13611225"/>
          <a:ext cx="2590800" cy="8953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Peat Landslide Hazard</a:t>
          </a:r>
          <a:r>
            <a:rPr lang="en-US" cap="none" sz="800" b="0" i="0" u="none" baseline="0">
              <a:latin typeface="Arial"/>
              <a:ea typeface="Arial"/>
              <a:cs typeface="Arial"/>
            </a:rPr>
            <a:t>. It is assumed that measures have been taken to may limit damage (</a:t>
          </a:r>
          <a:r>
            <a:rPr lang="en-US" cap="none" sz="600" b="0" i="0" u="none" baseline="0">
              <a:latin typeface="Arial"/>
              <a:ea typeface="Arial"/>
              <a:cs typeface="Arial"/>
            </a:rPr>
            <a:t>Scottish Executive, 2006, Peat Landslide Hazard and Risk Assessments. Best Practice Guide for Proposed Electricity Generation Developments. Scottish Executive, Edinburgh. pp. 34-35</a:t>
          </a:r>
          <a:r>
            <a:rPr lang="en-US" cap="none" sz="800" b="0" i="0" u="none" baseline="0">
              <a:latin typeface="Arial"/>
              <a:ea typeface="Arial"/>
              <a:cs typeface="Arial"/>
            </a:rPr>
            <a:t>) so that C losses due to peat landslide can be assumed to be negligible. Link: </a:t>
          </a:r>
          <a:r>
            <a:rPr lang="en-US" cap="none" sz="600" b="0" i="0" u="none" baseline="0">
              <a:latin typeface="Arial"/>
              <a:ea typeface="Arial"/>
              <a:cs typeface="Arial"/>
            </a:rPr>
            <a:t>http://www.scotland.gov.uk/Publications/2006/12/21162303/1</a:t>
          </a:r>
        </a:p>
      </xdr:txBody>
    </xdr:sp>
    <xdr:clientData/>
  </xdr:twoCellAnchor>
  <xdr:twoCellAnchor>
    <xdr:from>
      <xdr:col>6</xdr:col>
      <xdr:colOff>133350</xdr:colOff>
      <xdr:row>38</xdr:row>
      <xdr:rowOff>123825</xdr:rowOff>
    </xdr:from>
    <xdr:to>
      <xdr:col>10</xdr:col>
      <xdr:colOff>190500</xdr:colOff>
      <xdr:row>44</xdr:row>
      <xdr:rowOff>95250</xdr:rowOff>
    </xdr:to>
    <xdr:sp>
      <xdr:nvSpPr>
        <xdr:cNvPr id="9" name="Rectangle 35"/>
        <xdr:cNvSpPr>
          <a:spLocks/>
        </xdr:cNvSpPr>
      </xdr:nvSpPr>
      <xdr:spPr>
        <a:xfrm>
          <a:off x="7267575" y="8058150"/>
          <a:ext cx="2590800" cy="10001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Plantation carbon sequestration</a:t>
          </a:r>
          <a:r>
            <a:rPr lang="en-US" cap="none" sz="800" b="0" i="0" u="none" baseline="0">
              <a:latin typeface="Arial"/>
              <a:ea typeface="Arial"/>
              <a:cs typeface="Arial"/>
            </a:rPr>
            <a:t>. This is dependent on the yield class of the forestry. The SNH technical guidance assumed yield class of 16 m</a:t>
          </a:r>
          <a:r>
            <a:rPr lang="en-US" cap="none" sz="800" b="0" i="0" u="none" baseline="30000">
              <a:latin typeface="Arial"/>
              <a:ea typeface="Arial"/>
              <a:cs typeface="Arial"/>
            </a:rPr>
            <a:t>3</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a:t>
          </a:r>
          <a:r>
            <a:rPr lang="en-US" cap="none" sz="800" b="0" i="0" u="none" baseline="30000">
              <a:latin typeface="Arial"/>
              <a:ea typeface="Arial"/>
              <a:cs typeface="Arial"/>
            </a:rPr>
            <a:t>-1</a:t>
          </a:r>
          <a:r>
            <a:rPr lang="en-US" cap="none" sz="800" b="0" i="0" u="none" baseline="0">
              <a:latin typeface="Arial"/>
              <a:ea typeface="Arial"/>
              <a:cs typeface="Arial"/>
            </a:rPr>
            <a:t>, compared to the value of 14 m</a:t>
          </a:r>
          <a:r>
            <a:rPr lang="en-US" cap="none" sz="800" b="0" i="0" u="none" baseline="30000">
              <a:latin typeface="Arial"/>
              <a:ea typeface="Arial"/>
              <a:cs typeface="Arial"/>
            </a:rPr>
            <a:t>3</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a:t>
          </a:r>
          <a:r>
            <a:rPr lang="en-US" cap="none" sz="800" b="0" i="0" u="none" baseline="30000">
              <a:latin typeface="Arial"/>
              <a:ea typeface="Arial"/>
              <a:cs typeface="Arial"/>
            </a:rPr>
            <a:t>-1</a:t>
          </a:r>
          <a:r>
            <a:rPr lang="en-US" cap="none" sz="800" b="0" i="0" u="none" baseline="0">
              <a:latin typeface="Arial"/>
              <a:ea typeface="Arial"/>
              <a:cs typeface="Arial"/>
            </a:rPr>
            <a:t> provided by the Forestry Commission.  Carbon sequestered for yield class 16 m</a:t>
          </a:r>
          <a:r>
            <a:rPr lang="en-US" cap="none" sz="800" b="0" i="0" u="none" baseline="30000">
              <a:latin typeface="Arial"/>
              <a:ea typeface="Arial"/>
              <a:cs typeface="Arial"/>
            </a:rPr>
            <a:t>3</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a:t>
          </a:r>
          <a:r>
            <a:rPr lang="en-US" cap="none" sz="800" b="0" i="0" u="none" baseline="30000">
              <a:latin typeface="Arial"/>
              <a:ea typeface="Arial"/>
              <a:cs typeface="Arial"/>
            </a:rPr>
            <a:t>-1</a:t>
          </a:r>
          <a:r>
            <a:rPr lang="en-US" cap="none" sz="800" b="0" i="0" u="none" baseline="0">
              <a:latin typeface="Arial"/>
              <a:ea typeface="Arial"/>
              <a:cs typeface="Arial"/>
            </a:rPr>
            <a:t> = 3.6 tC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r>
            <a:rPr lang="en-US" cap="none" sz="600" b="0" i="0" u="none" baseline="0">
              <a:latin typeface="Arial"/>
              <a:ea typeface="Arial"/>
              <a:cs typeface="Arial"/>
            </a:rPr>
            <a:t>Cannell, 1999, Forestry, 72, 238-247</a:t>
          </a:r>
          <a:r>
            <a:rPr lang="en-US" cap="none" sz="800" b="0" i="0" u="none" baseline="0">
              <a:latin typeface="Arial"/>
              <a:ea typeface="Arial"/>
              <a:cs typeface="Arial"/>
            </a:rPr>
            <a:t>)</a:t>
          </a:r>
        </a:p>
      </xdr:txBody>
    </xdr:sp>
    <xdr:clientData/>
  </xdr:twoCellAnchor>
  <xdr:twoCellAnchor>
    <xdr:from>
      <xdr:col>6</xdr:col>
      <xdr:colOff>133350</xdr:colOff>
      <xdr:row>48</xdr:row>
      <xdr:rowOff>19050</xdr:rowOff>
    </xdr:from>
    <xdr:to>
      <xdr:col>10</xdr:col>
      <xdr:colOff>190500</xdr:colOff>
      <xdr:row>55</xdr:row>
      <xdr:rowOff>0</xdr:rowOff>
    </xdr:to>
    <xdr:sp>
      <xdr:nvSpPr>
        <xdr:cNvPr id="10" name="TextBox 41"/>
        <xdr:cNvSpPr txBox="1">
          <a:spLocks noChangeArrowheads="1"/>
        </xdr:cNvSpPr>
      </xdr:nvSpPr>
      <xdr:spPr>
        <a:xfrm>
          <a:off x="7267575" y="9801225"/>
          <a:ext cx="2590800" cy="11239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Fossil Fuel Mix Emission Factor</a:t>
          </a:r>
          <a:r>
            <a:rPr lang="en-US" cap="none" sz="800" b="0" i="0" u="none" baseline="0">
              <a:latin typeface="Arial"/>
              <a:ea typeface="Arial"/>
              <a:cs typeface="Arial"/>
            </a:rPr>
            <a:t>. The 5 year average emission factor calculated using estimated CO2 emissions for 2002 and 2003 from the National Atmospheric Emission Inventory (</a:t>
          </a:r>
          <a:r>
            <a:rPr lang="en-US" cap="none" sz="600" b="0" i="0" u="none" baseline="0">
              <a:latin typeface="Arial"/>
              <a:ea typeface="Arial"/>
              <a:cs typeface="Arial"/>
            </a:rPr>
            <a:t>Baggott et al, 2007, http://www.naei.org.uk/reports.php. Report AEAT/ENV/R/2429 13/04/2007</a:t>
          </a:r>
          <a:r>
            <a:rPr lang="en-US" cap="none" sz="800" b="0" i="0" u="none" baseline="0">
              <a:latin typeface="Arial"/>
              <a:ea typeface="Arial"/>
              <a:cs typeface="Arial"/>
            </a:rPr>
            <a:t>) and for 2004 to 2006 (</a:t>
          </a:r>
          <a:r>
            <a:rPr lang="en-US" cap="none" sz="600" b="0" i="0" u="none" baseline="0">
              <a:latin typeface="Arial"/>
              <a:ea typeface="Arial"/>
              <a:cs typeface="Arial"/>
            </a:rPr>
            <a:t>Digest of UK Energy Statistics ,2007, http://www.berr.gov.uk/energy/statistics/source/
electricity/page18527.htm</a:t>
          </a:r>
          <a:r>
            <a:rPr lang="en-US" cap="none" sz="800" b="0" i="0" u="none" baseline="0">
              <a:latin typeface="Arial"/>
              <a:ea typeface="Arial"/>
              <a:cs typeface="Arial"/>
            </a:rPr>
            <a:t>l) is 0.607 tCO</a:t>
          </a:r>
          <a:r>
            <a:rPr lang="en-US" cap="none" sz="800" b="0" i="0" u="none" baseline="-25000">
              <a:latin typeface="Arial"/>
              <a:ea typeface="Arial"/>
              <a:cs typeface="Arial"/>
            </a:rPr>
            <a:t>2</a:t>
          </a:r>
          <a:r>
            <a:rPr lang="en-US" cap="none" sz="800" b="0" i="0" u="none" baseline="0">
              <a:latin typeface="Arial"/>
              <a:ea typeface="Arial"/>
              <a:cs typeface="Arial"/>
            </a:rPr>
            <a:t> MWh</a:t>
          </a:r>
          <a:r>
            <a:rPr lang="en-US" cap="none" sz="800" b="0" i="0" u="none" baseline="30000">
              <a:latin typeface="Arial"/>
              <a:ea typeface="Arial"/>
              <a:cs typeface="Arial"/>
            </a:rPr>
            <a:t>-1</a:t>
          </a:r>
        </a:p>
      </xdr:txBody>
    </xdr:sp>
    <xdr:clientData/>
  </xdr:twoCellAnchor>
  <xdr:twoCellAnchor>
    <xdr:from>
      <xdr:col>6</xdr:col>
      <xdr:colOff>133350</xdr:colOff>
      <xdr:row>44</xdr:row>
      <xdr:rowOff>152400</xdr:rowOff>
    </xdr:from>
    <xdr:to>
      <xdr:col>10</xdr:col>
      <xdr:colOff>190500</xdr:colOff>
      <xdr:row>47</xdr:row>
      <xdr:rowOff>314325</xdr:rowOff>
    </xdr:to>
    <xdr:sp>
      <xdr:nvSpPr>
        <xdr:cNvPr id="11" name="TextBox 43"/>
        <xdr:cNvSpPr txBox="1">
          <a:spLocks noChangeArrowheads="1"/>
        </xdr:cNvSpPr>
      </xdr:nvSpPr>
      <xdr:spPr>
        <a:xfrm>
          <a:off x="7267575" y="9115425"/>
          <a:ext cx="2590800" cy="6477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Coal-Fired Plant and Grid Mix Emission Factors</a:t>
          </a:r>
          <a:r>
            <a:rPr lang="en-US" cap="none" sz="800" b="0" i="0" u="none" baseline="0">
              <a:latin typeface="Arial"/>
              <a:ea typeface="Arial"/>
              <a:cs typeface="Arial"/>
            </a:rPr>
            <a:t>. Coal-fired plant EF = 0.86 t CO</a:t>
          </a:r>
          <a:r>
            <a:rPr lang="en-US" cap="none" sz="800" b="0" i="0" u="none" baseline="-25000">
              <a:latin typeface="Arial"/>
              <a:ea typeface="Arial"/>
              <a:cs typeface="Arial"/>
            </a:rPr>
            <a:t>2</a:t>
          </a:r>
          <a:r>
            <a:rPr lang="en-US" cap="none" sz="800" b="0" i="0" u="none" baseline="0">
              <a:latin typeface="Arial"/>
              <a:ea typeface="Arial"/>
              <a:cs typeface="Arial"/>
            </a:rPr>
            <a:t> MWh</a:t>
          </a:r>
          <a:r>
            <a:rPr lang="en-US" cap="none" sz="800" b="0" i="0" u="none" baseline="30000">
              <a:latin typeface="Arial"/>
              <a:ea typeface="Arial"/>
              <a:cs typeface="Arial"/>
            </a:rPr>
            <a:t>-1; </a:t>
          </a:r>
          <a:r>
            <a:rPr lang="en-US" cap="none" sz="800" b="0" i="0" u="none" baseline="0">
              <a:latin typeface="Arial"/>
              <a:ea typeface="Arial"/>
              <a:cs typeface="Arial"/>
            </a:rPr>
            <a:t>Grid-Mix EF = 0.43 t CO</a:t>
          </a:r>
          <a:r>
            <a:rPr lang="en-US" cap="none" sz="800" b="0" i="0" u="none" baseline="-25000">
              <a:latin typeface="Arial"/>
              <a:ea typeface="Arial"/>
              <a:cs typeface="Arial"/>
            </a:rPr>
            <a:t>2</a:t>
          </a:r>
          <a:r>
            <a:rPr lang="en-US" cap="none" sz="800" b="0" i="0" u="none" baseline="0">
              <a:latin typeface="Arial"/>
              <a:ea typeface="Arial"/>
              <a:cs typeface="Arial"/>
            </a:rPr>
            <a:t> MWh</a:t>
          </a:r>
          <a:r>
            <a:rPr lang="en-US" cap="none" sz="800" b="0" i="0" u="none" baseline="30000">
              <a:latin typeface="Arial"/>
              <a:ea typeface="Arial"/>
              <a:cs typeface="Arial"/>
            </a:rPr>
            <a:t>-1. </a:t>
          </a:r>
          <a:r>
            <a:rPr lang="en-US" cap="none" sz="800" b="0" i="0" u="none" baseline="0">
              <a:latin typeface="Arial"/>
              <a:ea typeface="Arial"/>
              <a:cs typeface="Arial"/>
            </a:rPr>
            <a:t>Source = </a:t>
          </a:r>
          <a:r>
            <a:rPr lang="en-US" cap="none" sz="600" b="0" i="0" u="none" baseline="0">
              <a:latin typeface="Arial"/>
              <a:ea typeface="Arial"/>
              <a:cs typeface="Arial"/>
            </a:rPr>
            <a:t>DEFRA, 2002. Guidelines for the measurement and reporting of emissions by Direct Participants in UK Emissions Trading Scheme (DEFRA,Oct 2002)</a:t>
          </a:r>
        </a:p>
      </xdr:txBody>
    </xdr:sp>
    <xdr:clientData/>
  </xdr:twoCellAnchor>
  <xdr:twoCellAnchor>
    <xdr:from>
      <xdr:col>6</xdr:col>
      <xdr:colOff>133350</xdr:colOff>
      <xdr:row>35</xdr:row>
      <xdr:rowOff>66675</xdr:rowOff>
    </xdr:from>
    <xdr:to>
      <xdr:col>10</xdr:col>
      <xdr:colOff>190500</xdr:colOff>
      <xdr:row>38</xdr:row>
      <xdr:rowOff>95250</xdr:rowOff>
    </xdr:to>
    <xdr:sp>
      <xdr:nvSpPr>
        <xdr:cNvPr id="12" name="Rectangle 54"/>
        <xdr:cNvSpPr>
          <a:spLocks/>
        </xdr:cNvSpPr>
      </xdr:nvSpPr>
      <xdr:spPr>
        <a:xfrm>
          <a:off x="7267575" y="7439025"/>
          <a:ext cx="2590800" cy="590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Area of forestry plantation to be felled</a:t>
          </a:r>
          <a:r>
            <a:rPr lang="en-US" cap="none" sz="800" b="0" i="0" u="none" baseline="0">
              <a:latin typeface="Arial"/>
              <a:ea typeface="Arial"/>
              <a:cs typeface="Arial"/>
            </a:rPr>
            <a:t>. If the forestry was planned to be removed, with no further rotations planted, before the wind farm development, the area to be felled should be entered as zero.</a:t>
          </a:r>
        </a:p>
      </xdr:txBody>
    </xdr:sp>
    <xdr:clientData/>
  </xdr:twoCellAnchor>
  <xdr:twoCellAnchor>
    <xdr:from>
      <xdr:col>6</xdr:col>
      <xdr:colOff>133350</xdr:colOff>
      <xdr:row>20</xdr:row>
      <xdr:rowOff>38100</xdr:rowOff>
    </xdr:from>
    <xdr:to>
      <xdr:col>10</xdr:col>
      <xdr:colOff>200025</xdr:colOff>
      <xdr:row>21</xdr:row>
      <xdr:rowOff>180975</xdr:rowOff>
    </xdr:to>
    <xdr:sp>
      <xdr:nvSpPr>
        <xdr:cNvPr id="13" name="TextBox 59"/>
        <xdr:cNvSpPr txBox="1">
          <a:spLocks noChangeArrowheads="1"/>
        </xdr:cNvSpPr>
      </xdr:nvSpPr>
      <xdr:spPr>
        <a:xfrm>
          <a:off x="7267575" y="4124325"/>
          <a:ext cx="2600325" cy="4667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 fen is a type of wetland fed by surface and/or groundwater. A bog is fed primarily by rainwater and often inhabited by sphagnum moss, making it acidic.
</a:t>
          </a:r>
        </a:p>
      </xdr:txBody>
    </xdr:sp>
    <xdr:clientData/>
  </xdr:twoCellAnchor>
  <xdr:twoCellAnchor>
    <xdr:from>
      <xdr:col>6</xdr:col>
      <xdr:colOff>142875</xdr:colOff>
      <xdr:row>94</xdr:row>
      <xdr:rowOff>28575</xdr:rowOff>
    </xdr:from>
    <xdr:to>
      <xdr:col>10</xdr:col>
      <xdr:colOff>200025</xdr:colOff>
      <xdr:row>104</xdr:row>
      <xdr:rowOff>47625</xdr:rowOff>
    </xdr:to>
    <xdr:sp>
      <xdr:nvSpPr>
        <xdr:cNvPr id="14" name="Rectangle 61"/>
        <xdr:cNvSpPr>
          <a:spLocks/>
        </xdr:cNvSpPr>
      </xdr:nvSpPr>
      <xdr:spPr>
        <a:xfrm>
          <a:off x="7277100" y="19335750"/>
          <a:ext cx="2590800" cy="18192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Choice of methodology for calculating emission factors</a:t>
          </a:r>
          <a:r>
            <a:rPr lang="en-US" cap="none" sz="800" b="0" i="0" u="none" baseline="0">
              <a:latin typeface="Arial"/>
              <a:ea typeface="Arial"/>
              <a:cs typeface="Arial"/>
            </a:rPr>
            <a:t>. The IPPC default methodology is the internationally accepted standard (</a:t>
          </a:r>
          <a:r>
            <a:rPr lang="en-US" cap="none" sz="600" b="0" i="0" u="none" baseline="0">
              <a:latin typeface="Arial"/>
              <a:ea typeface="Arial"/>
              <a:cs typeface="Arial"/>
            </a:rPr>
            <a:t>IPCC, 1997, Revised 1996 IPCC guidelines for national greenhouse gas inventories, Vol 3, table 5-13</a:t>
          </a:r>
          <a:r>
            <a:rPr lang="en-US" cap="none" sz="800" b="0" i="0" u="none" baseline="0">
              <a:latin typeface="Arial"/>
              <a:ea typeface="Arial"/>
              <a:cs typeface="Arial"/>
            </a:rPr>
            <a:t>). However, it is stated in IPCC (1997) that these are rough estimates, and "these rates and production periods can be used if countries do not have more
appropriate estimates". Therefore, we have developed more site specific estimates for use here based on work from the SEERAD funded ECOSSE project (</a:t>
          </a:r>
          <a:r>
            <a:rPr lang="en-US" cap="none" sz="600" b="0" i="0" u="none" baseline="0">
              <a:latin typeface="Arial"/>
              <a:ea typeface="Arial"/>
              <a:cs typeface="Arial"/>
            </a:rPr>
            <a:t>Smith et al, 2007. ECOSSE: Estimating Carbon in Organic Soils - Sequestration and Emissions. Final Report. SEERAD Report. ISBN 978 0 7559 1498 2. 166pp.</a:t>
          </a:r>
          <a:r>
            <a:rPr lang="en-US" cap="none" sz="800" b="0" i="0" u="none" baseline="0">
              <a:latin typeface="Arial"/>
              <a:ea typeface="Arial"/>
              <a:cs typeface="Arial"/>
            </a:rPr>
            <a:t>)</a:t>
          </a:r>
        </a:p>
      </xdr:txBody>
    </xdr:sp>
    <xdr:clientData/>
  </xdr:twoCellAnchor>
  <xdr:twoCellAnchor>
    <xdr:from>
      <xdr:col>6</xdr:col>
      <xdr:colOff>142875</xdr:colOff>
      <xdr:row>90</xdr:row>
      <xdr:rowOff>200025</xdr:rowOff>
    </xdr:from>
    <xdr:to>
      <xdr:col>10</xdr:col>
      <xdr:colOff>200025</xdr:colOff>
      <xdr:row>93</xdr:row>
      <xdr:rowOff>285750</xdr:rowOff>
    </xdr:to>
    <xdr:sp>
      <xdr:nvSpPr>
        <xdr:cNvPr id="15" name="Rectangle 64"/>
        <xdr:cNvSpPr>
          <a:spLocks/>
        </xdr:cNvSpPr>
      </xdr:nvSpPr>
      <xdr:spPr>
        <a:xfrm>
          <a:off x="7277100" y="18354675"/>
          <a:ext cx="2590800" cy="9048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Restoration of site</a:t>
          </a:r>
          <a:r>
            <a:rPr lang="en-US" cap="none" sz="800" b="0" i="0" u="none" baseline="0">
              <a:latin typeface="Arial"/>
              <a:ea typeface="Arial"/>
              <a:cs typeface="Arial"/>
            </a:rPr>
            <a:t>. If the water table at the site is returned to its original level or higher on decomissioning, and habitat at the site is restored, it is assumed that C losses continue only over the lifetime of the windfarm. Otherwise, C losses from drained peat are assumed to be 100%</a:t>
          </a:r>
        </a:p>
      </xdr:txBody>
    </xdr:sp>
    <xdr:clientData/>
  </xdr:twoCellAnchor>
  <xdr:twoCellAnchor>
    <xdr:from>
      <xdr:col>3</xdr:col>
      <xdr:colOff>571500</xdr:colOff>
      <xdr:row>8</xdr:row>
      <xdr:rowOff>9525</xdr:rowOff>
    </xdr:from>
    <xdr:to>
      <xdr:col>3</xdr:col>
      <xdr:colOff>571500</xdr:colOff>
      <xdr:row>9</xdr:row>
      <xdr:rowOff>19050</xdr:rowOff>
    </xdr:to>
    <xdr:sp>
      <xdr:nvSpPr>
        <xdr:cNvPr id="16" name="Line 78"/>
        <xdr:cNvSpPr>
          <a:spLocks/>
        </xdr:cNvSpPr>
      </xdr:nvSpPr>
      <xdr:spPr>
        <a:xfrm>
          <a:off x="5734050" y="12192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14</xdr:row>
      <xdr:rowOff>95250</xdr:rowOff>
    </xdr:from>
    <xdr:to>
      <xdr:col>10</xdr:col>
      <xdr:colOff>200025</xdr:colOff>
      <xdr:row>17</xdr:row>
      <xdr:rowOff>95250</xdr:rowOff>
    </xdr:to>
    <xdr:sp>
      <xdr:nvSpPr>
        <xdr:cNvPr id="17" name="TextBox 79"/>
        <xdr:cNvSpPr txBox="1">
          <a:spLocks noChangeArrowheads="1"/>
        </xdr:cNvSpPr>
      </xdr:nvSpPr>
      <xdr:spPr>
        <a:xfrm>
          <a:off x="7267575" y="2276475"/>
          <a:ext cx="2600325" cy="4857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Extra emissions due to reduced thermal efficiency</a:t>
          </a:r>
          <a:r>
            <a:rPr lang="en-US" cap="none" sz="800" b="0" i="0" u="none" baseline="0">
              <a:latin typeface="Arial"/>
              <a:ea typeface="Arial"/>
              <a:cs typeface="Arial"/>
            </a:rPr>
            <a:t> of the reserve power generation ≈ 10%  (</a:t>
          </a:r>
          <a:r>
            <a:rPr lang="en-US" cap="none" sz="600" b="0" i="0" u="none" baseline="0">
              <a:latin typeface="Arial"/>
              <a:ea typeface="Arial"/>
              <a:cs typeface="Arial"/>
            </a:rPr>
            <a:t>Dale et al 2004, Energy Policy, 32, 1949-56</a:t>
          </a:r>
          <a:r>
            <a:rPr lang="en-US" cap="none" sz="800" b="0" i="0" u="none" baseline="0">
              <a:latin typeface="Arial"/>
              <a:ea typeface="Arial"/>
              <a:cs typeface="Arial"/>
            </a:rPr>
            <a:t>)
</a:t>
          </a:r>
        </a:p>
      </xdr:txBody>
    </xdr:sp>
    <xdr:clientData/>
  </xdr:twoCellAnchor>
  <xdr:twoCellAnchor>
    <xdr:from>
      <xdr:col>2</xdr:col>
      <xdr:colOff>828675</xdr:colOff>
      <xdr:row>8</xdr:row>
      <xdr:rowOff>0</xdr:rowOff>
    </xdr:from>
    <xdr:to>
      <xdr:col>2</xdr:col>
      <xdr:colOff>828675</xdr:colOff>
      <xdr:row>9</xdr:row>
      <xdr:rowOff>9525</xdr:rowOff>
    </xdr:to>
    <xdr:sp>
      <xdr:nvSpPr>
        <xdr:cNvPr id="18" name="Line 107"/>
        <xdr:cNvSpPr>
          <a:spLocks/>
        </xdr:cNvSpPr>
      </xdr:nvSpPr>
      <xdr:spPr>
        <a:xfrm>
          <a:off x="4267200" y="120967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4</xdr:row>
      <xdr:rowOff>57150</xdr:rowOff>
    </xdr:from>
    <xdr:to>
      <xdr:col>6</xdr:col>
      <xdr:colOff>123825</xdr:colOff>
      <xdr:row>14</xdr:row>
      <xdr:rowOff>76200</xdr:rowOff>
    </xdr:to>
    <xdr:sp>
      <xdr:nvSpPr>
        <xdr:cNvPr id="19" name="Line 108"/>
        <xdr:cNvSpPr>
          <a:spLocks/>
        </xdr:cNvSpPr>
      </xdr:nvSpPr>
      <xdr:spPr>
        <a:xfrm flipH="1">
          <a:off x="4457700" y="600075"/>
          <a:ext cx="2800350" cy="1657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981075</xdr:colOff>
      <xdr:row>11</xdr:row>
      <xdr:rowOff>9525</xdr:rowOff>
    </xdr:from>
    <xdr:to>
      <xdr:col>6</xdr:col>
      <xdr:colOff>133350</xdr:colOff>
      <xdr:row>16</xdr:row>
      <xdr:rowOff>57150</xdr:rowOff>
    </xdr:to>
    <xdr:sp>
      <xdr:nvSpPr>
        <xdr:cNvPr id="20" name="Line 109"/>
        <xdr:cNvSpPr>
          <a:spLocks/>
        </xdr:cNvSpPr>
      </xdr:nvSpPr>
      <xdr:spPr>
        <a:xfrm flipH="1">
          <a:off x="4419600" y="1704975"/>
          <a:ext cx="2847975"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1028700</xdr:colOff>
      <xdr:row>15</xdr:row>
      <xdr:rowOff>133350</xdr:rowOff>
    </xdr:from>
    <xdr:to>
      <xdr:col>6</xdr:col>
      <xdr:colOff>133350</xdr:colOff>
      <xdr:row>17</xdr:row>
      <xdr:rowOff>142875</xdr:rowOff>
    </xdr:to>
    <xdr:sp>
      <xdr:nvSpPr>
        <xdr:cNvPr id="21" name="Line 110"/>
        <xdr:cNvSpPr>
          <a:spLocks/>
        </xdr:cNvSpPr>
      </xdr:nvSpPr>
      <xdr:spPr>
        <a:xfrm flipH="1">
          <a:off x="4467225" y="2476500"/>
          <a:ext cx="28003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18</xdr:row>
      <xdr:rowOff>161925</xdr:rowOff>
    </xdr:from>
    <xdr:to>
      <xdr:col>6</xdr:col>
      <xdr:colOff>133350</xdr:colOff>
      <xdr:row>18</xdr:row>
      <xdr:rowOff>171450</xdr:rowOff>
    </xdr:to>
    <xdr:sp>
      <xdr:nvSpPr>
        <xdr:cNvPr id="22" name="Line 111"/>
        <xdr:cNvSpPr>
          <a:spLocks/>
        </xdr:cNvSpPr>
      </xdr:nvSpPr>
      <xdr:spPr>
        <a:xfrm flipH="1" flipV="1">
          <a:off x="5162550" y="3152775"/>
          <a:ext cx="2105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1209675</xdr:colOff>
      <xdr:row>21</xdr:row>
      <xdr:rowOff>85725</xdr:rowOff>
    </xdr:from>
    <xdr:to>
      <xdr:col>6</xdr:col>
      <xdr:colOff>123825</xdr:colOff>
      <xdr:row>21</xdr:row>
      <xdr:rowOff>85725</xdr:rowOff>
    </xdr:to>
    <xdr:sp>
      <xdr:nvSpPr>
        <xdr:cNvPr id="23" name="Line 112"/>
        <xdr:cNvSpPr>
          <a:spLocks/>
        </xdr:cNvSpPr>
      </xdr:nvSpPr>
      <xdr:spPr>
        <a:xfrm flipH="1">
          <a:off x="4648200" y="4495800"/>
          <a:ext cx="2609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971550</xdr:colOff>
      <xdr:row>25</xdr:row>
      <xdr:rowOff>285750</xdr:rowOff>
    </xdr:from>
    <xdr:to>
      <xdr:col>6</xdr:col>
      <xdr:colOff>142875</xdr:colOff>
      <xdr:row>30</xdr:row>
      <xdr:rowOff>152400</xdr:rowOff>
    </xdr:to>
    <xdr:sp>
      <xdr:nvSpPr>
        <xdr:cNvPr id="24" name="Line 113"/>
        <xdr:cNvSpPr>
          <a:spLocks/>
        </xdr:cNvSpPr>
      </xdr:nvSpPr>
      <xdr:spPr>
        <a:xfrm flipH="1">
          <a:off x="4410075" y="5448300"/>
          <a:ext cx="2867025"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1038225</xdr:colOff>
      <xdr:row>31</xdr:row>
      <xdr:rowOff>200025</xdr:rowOff>
    </xdr:from>
    <xdr:to>
      <xdr:col>6</xdr:col>
      <xdr:colOff>152400</xdr:colOff>
      <xdr:row>32</xdr:row>
      <xdr:rowOff>95250</xdr:rowOff>
    </xdr:to>
    <xdr:sp>
      <xdr:nvSpPr>
        <xdr:cNvPr id="25" name="Line 114"/>
        <xdr:cNvSpPr>
          <a:spLocks/>
        </xdr:cNvSpPr>
      </xdr:nvSpPr>
      <xdr:spPr>
        <a:xfrm flipH="1" flipV="1">
          <a:off x="4476750" y="6686550"/>
          <a:ext cx="28098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1000125</xdr:colOff>
      <xdr:row>33</xdr:row>
      <xdr:rowOff>76200</xdr:rowOff>
    </xdr:from>
    <xdr:to>
      <xdr:col>6</xdr:col>
      <xdr:colOff>133350</xdr:colOff>
      <xdr:row>36</xdr:row>
      <xdr:rowOff>180975</xdr:rowOff>
    </xdr:to>
    <xdr:sp>
      <xdr:nvSpPr>
        <xdr:cNvPr id="26" name="Line 115"/>
        <xdr:cNvSpPr>
          <a:spLocks/>
        </xdr:cNvSpPr>
      </xdr:nvSpPr>
      <xdr:spPr>
        <a:xfrm flipH="1" flipV="1">
          <a:off x="4438650" y="7096125"/>
          <a:ext cx="2828925"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1038225</xdr:colOff>
      <xdr:row>34</xdr:row>
      <xdr:rowOff>85725</xdr:rowOff>
    </xdr:from>
    <xdr:to>
      <xdr:col>6</xdr:col>
      <xdr:colOff>142875</xdr:colOff>
      <xdr:row>41</xdr:row>
      <xdr:rowOff>28575</xdr:rowOff>
    </xdr:to>
    <xdr:sp>
      <xdr:nvSpPr>
        <xdr:cNvPr id="27" name="Line 116"/>
        <xdr:cNvSpPr>
          <a:spLocks/>
        </xdr:cNvSpPr>
      </xdr:nvSpPr>
      <xdr:spPr>
        <a:xfrm flipH="1" flipV="1">
          <a:off x="4476750" y="7267575"/>
          <a:ext cx="2800350" cy="1228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36</xdr:row>
      <xdr:rowOff>114300</xdr:rowOff>
    </xdr:from>
    <xdr:to>
      <xdr:col>6</xdr:col>
      <xdr:colOff>123825</xdr:colOff>
      <xdr:row>47</xdr:row>
      <xdr:rowOff>0</xdr:rowOff>
    </xdr:to>
    <xdr:sp>
      <xdr:nvSpPr>
        <xdr:cNvPr id="28" name="Line 117"/>
        <xdr:cNvSpPr>
          <a:spLocks/>
        </xdr:cNvSpPr>
      </xdr:nvSpPr>
      <xdr:spPr>
        <a:xfrm flipH="1" flipV="1">
          <a:off x="4457700" y="7648575"/>
          <a:ext cx="2800350" cy="1800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1095375</xdr:colOff>
      <xdr:row>53</xdr:row>
      <xdr:rowOff>85725</xdr:rowOff>
    </xdr:from>
    <xdr:to>
      <xdr:col>6</xdr:col>
      <xdr:colOff>133350</xdr:colOff>
      <xdr:row>57</xdr:row>
      <xdr:rowOff>47625</xdr:rowOff>
    </xdr:to>
    <xdr:sp>
      <xdr:nvSpPr>
        <xdr:cNvPr id="29" name="Line 118"/>
        <xdr:cNvSpPr>
          <a:spLocks/>
        </xdr:cNvSpPr>
      </xdr:nvSpPr>
      <xdr:spPr>
        <a:xfrm flipH="1" flipV="1">
          <a:off x="4533900" y="10687050"/>
          <a:ext cx="273367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990600</xdr:colOff>
      <xdr:row>63</xdr:row>
      <xdr:rowOff>85725</xdr:rowOff>
    </xdr:from>
    <xdr:to>
      <xdr:col>6</xdr:col>
      <xdr:colOff>142875</xdr:colOff>
      <xdr:row>63</xdr:row>
      <xdr:rowOff>85725</xdr:rowOff>
    </xdr:to>
    <xdr:sp>
      <xdr:nvSpPr>
        <xdr:cNvPr id="30" name="Line 119"/>
        <xdr:cNvSpPr>
          <a:spLocks/>
        </xdr:cNvSpPr>
      </xdr:nvSpPr>
      <xdr:spPr>
        <a:xfrm flipH="1">
          <a:off x="4429125" y="12306300"/>
          <a:ext cx="2847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1219200</xdr:colOff>
      <xdr:row>71</xdr:row>
      <xdr:rowOff>76200</xdr:rowOff>
    </xdr:from>
    <xdr:to>
      <xdr:col>6</xdr:col>
      <xdr:colOff>152400</xdr:colOff>
      <xdr:row>71</xdr:row>
      <xdr:rowOff>76200</xdr:rowOff>
    </xdr:to>
    <xdr:sp>
      <xdr:nvSpPr>
        <xdr:cNvPr id="31" name="Line 120"/>
        <xdr:cNvSpPr>
          <a:spLocks/>
        </xdr:cNvSpPr>
      </xdr:nvSpPr>
      <xdr:spPr>
        <a:xfrm flipH="1">
          <a:off x="4657725" y="13973175"/>
          <a:ext cx="2628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1304925</xdr:colOff>
      <xdr:row>91</xdr:row>
      <xdr:rowOff>85725</xdr:rowOff>
    </xdr:from>
    <xdr:to>
      <xdr:col>6</xdr:col>
      <xdr:colOff>142875</xdr:colOff>
      <xdr:row>91</xdr:row>
      <xdr:rowOff>85725</xdr:rowOff>
    </xdr:to>
    <xdr:sp>
      <xdr:nvSpPr>
        <xdr:cNvPr id="32" name="Line 121"/>
        <xdr:cNvSpPr>
          <a:spLocks/>
        </xdr:cNvSpPr>
      </xdr:nvSpPr>
      <xdr:spPr>
        <a:xfrm flipH="1">
          <a:off x="4743450" y="18573750"/>
          <a:ext cx="2533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1333500</xdr:colOff>
      <xdr:row>95</xdr:row>
      <xdr:rowOff>142875</xdr:rowOff>
    </xdr:from>
    <xdr:to>
      <xdr:col>6</xdr:col>
      <xdr:colOff>133350</xdr:colOff>
      <xdr:row>95</xdr:row>
      <xdr:rowOff>142875</xdr:rowOff>
    </xdr:to>
    <xdr:sp>
      <xdr:nvSpPr>
        <xdr:cNvPr id="33" name="Line 122"/>
        <xdr:cNvSpPr>
          <a:spLocks/>
        </xdr:cNvSpPr>
      </xdr:nvSpPr>
      <xdr:spPr>
        <a:xfrm flipH="1">
          <a:off x="4772025" y="19621500"/>
          <a:ext cx="2495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1019175</xdr:colOff>
      <xdr:row>37</xdr:row>
      <xdr:rowOff>95250</xdr:rowOff>
    </xdr:from>
    <xdr:to>
      <xdr:col>6</xdr:col>
      <xdr:colOff>123825</xdr:colOff>
      <xdr:row>47</xdr:row>
      <xdr:rowOff>180975</xdr:rowOff>
    </xdr:to>
    <xdr:sp>
      <xdr:nvSpPr>
        <xdr:cNvPr id="34" name="Line 123"/>
        <xdr:cNvSpPr>
          <a:spLocks/>
        </xdr:cNvSpPr>
      </xdr:nvSpPr>
      <xdr:spPr>
        <a:xfrm flipH="1" flipV="1">
          <a:off x="4457700" y="7829550"/>
          <a:ext cx="2800350" cy="1800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1038225</xdr:colOff>
      <xdr:row>38</xdr:row>
      <xdr:rowOff>114300</xdr:rowOff>
    </xdr:from>
    <xdr:to>
      <xdr:col>6</xdr:col>
      <xdr:colOff>142875</xdr:colOff>
      <xdr:row>48</xdr:row>
      <xdr:rowOff>66675</xdr:rowOff>
    </xdr:to>
    <xdr:sp>
      <xdr:nvSpPr>
        <xdr:cNvPr id="35" name="Line 124"/>
        <xdr:cNvSpPr>
          <a:spLocks/>
        </xdr:cNvSpPr>
      </xdr:nvSpPr>
      <xdr:spPr>
        <a:xfrm flipH="1" flipV="1">
          <a:off x="4476750" y="8048625"/>
          <a:ext cx="2800350" cy="1800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23</xdr:row>
      <xdr:rowOff>190500</xdr:rowOff>
    </xdr:from>
    <xdr:to>
      <xdr:col>6</xdr:col>
      <xdr:colOff>581025</xdr:colOff>
      <xdr:row>25</xdr:row>
      <xdr:rowOff>95250</xdr:rowOff>
    </xdr:to>
    <xdr:sp>
      <xdr:nvSpPr>
        <xdr:cNvPr id="1" name="TextBox 13"/>
        <xdr:cNvSpPr txBox="1">
          <a:spLocks noChangeArrowheads="1"/>
        </xdr:cNvSpPr>
      </xdr:nvSpPr>
      <xdr:spPr>
        <a:xfrm>
          <a:off x="5981700" y="5210175"/>
          <a:ext cx="1704975" cy="3048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Note:Conversion = (23 x 16/12) = 30.67 CO</a:t>
          </a:r>
          <a:r>
            <a:rPr lang="en-US" cap="none" sz="800" b="0" i="0" u="none" baseline="-25000">
              <a:latin typeface="Arial"/>
              <a:ea typeface="Arial"/>
              <a:cs typeface="Arial"/>
            </a:rPr>
            <a:t>2 </a:t>
          </a:r>
          <a:r>
            <a:rPr lang="en-US" cap="none" sz="800" b="0" i="0" u="none" baseline="0">
              <a:latin typeface="Arial"/>
              <a:ea typeface="Arial"/>
              <a:cs typeface="Arial"/>
            </a:rPr>
            <a:t>equiv. (CH</a:t>
          </a:r>
          <a:r>
            <a:rPr lang="en-US" cap="none" sz="800" b="0" i="0" u="none" baseline="-25000">
              <a:latin typeface="Arial"/>
              <a:ea typeface="Arial"/>
              <a:cs typeface="Arial"/>
            </a:rPr>
            <a:t>4</a:t>
          </a:r>
          <a:r>
            <a:rPr lang="en-US" cap="none" sz="800" b="0" i="0" u="none" baseline="0">
              <a:latin typeface="Arial"/>
              <a:ea typeface="Arial"/>
              <a:cs typeface="Arial"/>
            </a:rPr>
            <a:t>-C)</a:t>
          </a:r>
          <a:r>
            <a:rPr lang="en-US" cap="none" sz="800" b="0" i="0" u="none" baseline="30000">
              <a:latin typeface="Arial"/>
              <a:ea typeface="Arial"/>
              <a:cs typeface="Arial"/>
            </a:rPr>
            <a:t>-1</a:t>
          </a:r>
        </a:p>
      </xdr:txBody>
    </xdr:sp>
    <xdr:clientData/>
  </xdr:twoCellAnchor>
  <xdr:twoCellAnchor>
    <xdr:from>
      <xdr:col>2</xdr:col>
      <xdr:colOff>1266825</xdr:colOff>
      <xdr:row>24</xdr:row>
      <xdr:rowOff>104775</xdr:rowOff>
    </xdr:from>
    <xdr:to>
      <xdr:col>4</xdr:col>
      <xdr:colOff>95250</xdr:colOff>
      <xdr:row>24</xdr:row>
      <xdr:rowOff>104775</xdr:rowOff>
    </xdr:to>
    <xdr:sp>
      <xdr:nvSpPr>
        <xdr:cNvPr id="2" name="Line 14"/>
        <xdr:cNvSpPr>
          <a:spLocks/>
        </xdr:cNvSpPr>
      </xdr:nvSpPr>
      <xdr:spPr>
        <a:xfrm flipH="1" flipV="1">
          <a:off x="4648200" y="5324475"/>
          <a:ext cx="1333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18</xdr:row>
      <xdr:rowOff>142875</xdr:rowOff>
    </xdr:from>
    <xdr:to>
      <xdr:col>6</xdr:col>
      <xdr:colOff>581025</xdr:colOff>
      <xdr:row>20</xdr:row>
      <xdr:rowOff>114300</xdr:rowOff>
    </xdr:to>
    <xdr:sp>
      <xdr:nvSpPr>
        <xdr:cNvPr id="3" name="TextBox 17"/>
        <xdr:cNvSpPr txBox="1">
          <a:spLocks noChangeArrowheads="1"/>
        </xdr:cNvSpPr>
      </xdr:nvSpPr>
      <xdr:spPr>
        <a:xfrm>
          <a:off x="5981700" y="4152900"/>
          <a:ext cx="1704975" cy="3238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drained soil is not flooded at any time of the year.</a:t>
          </a:r>
        </a:p>
      </xdr:txBody>
    </xdr:sp>
    <xdr:clientData/>
  </xdr:twoCellAnchor>
  <xdr:twoCellAnchor>
    <xdr:from>
      <xdr:col>3</xdr:col>
      <xdr:colOff>0</xdr:colOff>
      <xdr:row>19</xdr:row>
      <xdr:rowOff>123825</xdr:rowOff>
    </xdr:from>
    <xdr:to>
      <xdr:col>4</xdr:col>
      <xdr:colOff>95250</xdr:colOff>
      <xdr:row>19</xdr:row>
      <xdr:rowOff>123825</xdr:rowOff>
    </xdr:to>
    <xdr:sp>
      <xdr:nvSpPr>
        <xdr:cNvPr id="4" name="Line 18"/>
        <xdr:cNvSpPr>
          <a:spLocks/>
        </xdr:cNvSpPr>
      </xdr:nvSpPr>
      <xdr:spPr>
        <a:xfrm flipH="1">
          <a:off x="4667250" y="43053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37</xdr:row>
      <xdr:rowOff>0</xdr:rowOff>
    </xdr:from>
    <xdr:to>
      <xdr:col>6</xdr:col>
      <xdr:colOff>581025</xdr:colOff>
      <xdr:row>38</xdr:row>
      <xdr:rowOff>104775</xdr:rowOff>
    </xdr:to>
    <xdr:sp>
      <xdr:nvSpPr>
        <xdr:cNvPr id="5" name="TextBox 19"/>
        <xdr:cNvSpPr txBox="1">
          <a:spLocks noChangeArrowheads="1"/>
        </xdr:cNvSpPr>
      </xdr:nvSpPr>
      <xdr:spPr>
        <a:xfrm>
          <a:off x="5981700" y="7962900"/>
          <a:ext cx="1704975" cy="3048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Note:Conversion = (23 x 16/12) = 30.67 CO</a:t>
          </a:r>
          <a:r>
            <a:rPr lang="en-US" cap="none" sz="800" b="0" i="0" u="none" baseline="-25000">
              <a:latin typeface="Arial"/>
              <a:ea typeface="Arial"/>
              <a:cs typeface="Arial"/>
            </a:rPr>
            <a:t>2 </a:t>
          </a:r>
          <a:r>
            <a:rPr lang="en-US" cap="none" sz="800" b="0" i="0" u="none" baseline="0">
              <a:latin typeface="Arial"/>
              <a:ea typeface="Arial"/>
              <a:cs typeface="Arial"/>
            </a:rPr>
            <a:t>equiv. (CH</a:t>
          </a:r>
          <a:r>
            <a:rPr lang="en-US" cap="none" sz="800" b="0" i="0" u="none" baseline="-25000">
              <a:latin typeface="Arial"/>
              <a:ea typeface="Arial"/>
              <a:cs typeface="Arial"/>
            </a:rPr>
            <a:t>4</a:t>
          </a:r>
          <a:r>
            <a:rPr lang="en-US" cap="none" sz="800" b="0" i="0" u="none" baseline="0">
              <a:latin typeface="Arial"/>
              <a:ea typeface="Arial"/>
              <a:cs typeface="Arial"/>
            </a:rPr>
            <a:t>-C)</a:t>
          </a:r>
          <a:r>
            <a:rPr lang="en-US" cap="none" sz="800" b="0" i="0" u="none" baseline="30000">
              <a:latin typeface="Arial"/>
              <a:ea typeface="Arial"/>
              <a:cs typeface="Arial"/>
            </a:rPr>
            <a:t>-1</a:t>
          </a:r>
        </a:p>
      </xdr:txBody>
    </xdr:sp>
    <xdr:clientData/>
  </xdr:twoCellAnchor>
  <xdr:twoCellAnchor>
    <xdr:from>
      <xdr:col>3</xdr:col>
      <xdr:colOff>0</xdr:colOff>
      <xdr:row>37</xdr:row>
      <xdr:rowOff>114300</xdr:rowOff>
    </xdr:from>
    <xdr:to>
      <xdr:col>4</xdr:col>
      <xdr:colOff>95250</xdr:colOff>
      <xdr:row>37</xdr:row>
      <xdr:rowOff>114300</xdr:rowOff>
    </xdr:to>
    <xdr:sp>
      <xdr:nvSpPr>
        <xdr:cNvPr id="6" name="Line 20"/>
        <xdr:cNvSpPr>
          <a:spLocks/>
        </xdr:cNvSpPr>
      </xdr:nvSpPr>
      <xdr:spPr>
        <a:xfrm flipH="1" flipV="1">
          <a:off x="4667250" y="8077200"/>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14</xdr:row>
      <xdr:rowOff>219075</xdr:rowOff>
    </xdr:from>
    <xdr:to>
      <xdr:col>7</xdr:col>
      <xdr:colOff>9525</xdr:colOff>
      <xdr:row>16</xdr:row>
      <xdr:rowOff>114300</xdr:rowOff>
    </xdr:to>
    <xdr:sp>
      <xdr:nvSpPr>
        <xdr:cNvPr id="7" name="TextBox 21"/>
        <xdr:cNvSpPr txBox="1">
          <a:spLocks noChangeArrowheads="1"/>
        </xdr:cNvSpPr>
      </xdr:nvSpPr>
      <xdr:spPr>
        <a:xfrm>
          <a:off x="6019800" y="3209925"/>
          <a:ext cx="1704975" cy="5905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Losses of GHG from drained and undrained land have the same proportion throughout the emission period. 
</a:t>
          </a:r>
        </a:p>
      </xdr:txBody>
    </xdr:sp>
    <xdr:clientData/>
  </xdr:twoCellAnchor>
  <xdr:twoCellAnchor>
    <xdr:from>
      <xdr:col>3</xdr:col>
      <xdr:colOff>0</xdr:colOff>
      <xdr:row>15</xdr:row>
      <xdr:rowOff>171450</xdr:rowOff>
    </xdr:from>
    <xdr:to>
      <xdr:col>4</xdr:col>
      <xdr:colOff>133350</xdr:colOff>
      <xdr:row>15</xdr:row>
      <xdr:rowOff>171450</xdr:rowOff>
    </xdr:to>
    <xdr:sp>
      <xdr:nvSpPr>
        <xdr:cNvPr id="8" name="Line 22"/>
        <xdr:cNvSpPr>
          <a:spLocks/>
        </xdr:cNvSpPr>
      </xdr:nvSpPr>
      <xdr:spPr>
        <a:xfrm flipH="1">
          <a:off x="4667250" y="3505200"/>
          <a:ext cx="1352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14</xdr:row>
      <xdr:rowOff>28575</xdr:rowOff>
    </xdr:from>
    <xdr:to>
      <xdr:col>6</xdr:col>
      <xdr:colOff>590550</xdr:colOff>
      <xdr:row>19</xdr:row>
      <xdr:rowOff>114300</xdr:rowOff>
    </xdr:to>
    <xdr:sp>
      <xdr:nvSpPr>
        <xdr:cNvPr id="1" name="TextBox 1"/>
        <xdr:cNvSpPr txBox="1">
          <a:spLocks noChangeArrowheads="1"/>
        </xdr:cNvSpPr>
      </xdr:nvSpPr>
      <xdr:spPr>
        <a:xfrm>
          <a:off x="6400800" y="2552700"/>
          <a:ext cx="1704975" cy="9906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period of flooding is taken to be 178 days yr</a:t>
          </a:r>
          <a:r>
            <a:rPr lang="en-US" cap="none" sz="800" b="0" i="0" u="none" baseline="30000">
              <a:latin typeface="Arial"/>
              <a:ea typeface="Arial"/>
              <a:cs typeface="Arial"/>
            </a:rPr>
            <a:t>-1</a:t>
          </a:r>
          <a:r>
            <a:rPr lang="en-US" cap="none" sz="800" b="0" i="0" u="none" baseline="0">
              <a:latin typeface="Arial"/>
              <a:ea typeface="Arial"/>
              <a:cs typeface="Arial"/>
            </a:rPr>
            <a:t> for acid bogs and 169 days yr</a:t>
          </a:r>
          <a:r>
            <a:rPr lang="en-US" cap="none" sz="800" b="0" i="0" u="none" baseline="30000">
              <a:latin typeface="Arial"/>
              <a:ea typeface="Arial"/>
              <a:cs typeface="Arial"/>
            </a:rPr>
            <a:t>-1</a:t>
          </a:r>
          <a:r>
            <a:rPr lang="en-US" cap="none" sz="800" b="0" i="0" u="none" baseline="0">
              <a:latin typeface="Arial"/>
              <a:ea typeface="Arial"/>
              <a:cs typeface="Arial"/>
            </a:rPr>
            <a:t> based on the monthly mean temperature and the lengths of inundation (</a:t>
          </a:r>
          <a:r>
            <a:rPr lang="en-US" cap="none" sz="600" b="0" i="0" u="none" baseline="0">
              <a:latin typeface="Arial"/>
              <a:ea typeface="Arial"/>
              <a:cs typeface="Arial"/>
            </a:rPr>
            <a:t>IPCC, 1997, Revised 1996 IPCC guidelines for national greenhouse gas inventories, Vol 3, table 5-13</a:t>
          </a:r>
          <a:r>
            <a:rPr lang="en-US" cap="none" sz="800" b="0" i="0" u="none" baseline="0">
              <a:latin typeface="Arial"/>
              <a:ea typeface="Arial"/>
              <a:cs typeface="Arial"/>
            </a:rPr>
            <a:t>)</a:t>
          </a:r>
        </a:p>
      </xdr:txBody>
    </xdr:sp>
    <xdr:clientData/>
  </xdr:twoCellAnchor>
  <xdr:twoCellAnchor>
    <xdr:from>
      <xdr:col>4</xdr:col>
      <xdr:colOff>104775</xdr:colOff>
      <xdr:row>19</xdr:row>
      <xdr:rowOff>152400</xdr:rowOff>
    </xdr:from>
    <xdr:to>
      <xdr:col>6</xdr:col>
      <xdr:colOff>590550</xdr:colOff>
      <xdr:row>24</xdr:row>
      <xdr:rowOff>142875</xdr:rowOff>
    </xdr:to>
    <xdr:sp>
      <xdr:nvSpPr>
        <xdr:cNvPr id="2" name="TextBox 3"/>
        <xdr:cNvSpPr txBox="1">
          <a:spLocks noChangeArrowheads="1"/>
        </xdr:cNvSpPr>
      </xdr:nvSpPr>
      <xdr:spPr>
        <a:xfrm>
          <a:off x="6400800" y="3581400"/>
          <a:ext cx="1704975" cy="9144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CH</a:t>
          </a:r>
          <a:r>
            <a:rPr lang="en-US" cap="none" sz="800" b="0" i="0" u="none" baseline="-25000">
              <a:latin typeface="Arial"/>
              <a:ea typeface="Arial"/>
              <a:cs typeface="Arial"/>
            </a:rPr>
            <a:t>4</a:t>
          </a:r>
          <a:r>
            <a:rPr lang="en-US" cap="none" sz="800" b="0" i="0" u="none" baseline="0">
              <a:latin typeface="Arial"/>
              <a:ea typeface="Arial"/>
              <a:cs typeface="Arial"/>
            </a:rPr>
            <a:t> emission rate provided for acid bogs is 11 (1-38) mg CH</a:t>
          </a:r>
          <a:r>
            <a:rPr lang="en-US" cap="none" sz="800" b="0" i="0" u="none" baseline="-25000">
              <a:latin typeface="Arial"/>
              <a:ea typeface="Arial"/>
              <a:cs typeface="Arial"/>
            </a:rPr>
            <a:t>4</a:t>
          </a:r>
          <a:r>
            <a:rPr lang="en-US" cap="none" sz="800" b="0" i="0" u="none" baseline="0">
              <a:latin typeface="Arial"/>
              <a:ea typeface="Arial"/>
              <a:cs typeface="Arial"/>
            </a:rPr>
            <a:t>-C m</a:t>
          </a:r>
          <a:r>
            <a:rPr lang="en-US" cap="none" sz="800" b="0" i="0" u="none" baseline="30000">
              <a:latin typeface="Arial"/>
              <a:ea typeface="Arial"/>
              <a:cs typeface="Arial"/>
            </a:rPr>
            <a:t>-2 </a:t>
          </a:r>
          <a:r>
            <a:rPr lang="en-US" cap="none" sz="800" b="0" i="0" u="none" baseline="0">
              <a:latin typeface="Arial"/>
              <a:ea typeface="Arial"/>
              <a:cs typeface="Arial"/>
            </a:rPr>
            <a:t>day</a:t>
          </a:r>
          <a:r>
            <a:rPr lang="en-US" cap="none" sz="800" b="0" i="0" u="none" baseline="30000">
              <a:latin typeface="Arial"/>
              <a:ea typeface="Arial"/>
              <a:cs typeface="Arial"/>
            </a:rPr>
            <a:t>-1</a:t>
          </a:r>
          <a:r>
            <a:rPr lang="en-US" cap="none" sz="800" b="0" i="0" u="none" baseline="0">
              <a:latin typeface="Arial"/>
              <a:ea typeface="Arial"/>
              <a:cs typeface="Arial"/>
            </a:rPr>
            <a:t>  x 365 days; and for fens is 60 (21-162) mg CH</a:t>
          </a:r>
          <a:r>
            <a:rPr lang="en-US" cap="none" sz="800" b="0" i="0" u="none" baseline="-25000">
              <a:latin typeface="Arial"/>
              <a:ea typeface="Arial"/>
              <a:cs typeface="Arial"/>
            </a:rPr>
            <a:t>4</a:t>
          </a:r>
          <a:r>
            <a:rPr lang="en-US" cap="none" sz="800" b="0" i="0" u="none" baseline="0">
              <a:latin typeface="Arial"/>
              <a:ea typeface="Arial"/>
              <a:cs typeface="Arial"/>
            </a:rPr>
            <a:t>-C m</a:t>
          </a:r>
          <a:r>
            <a:rPr lang="en-US" cap="none" sz="800" b="0" i="0" u="none" baseline="30000">
              <a:latin typeface="Arial"/>
              <a:ea typeface="Arial"/>
              <a:cs typeface="Arial"/>
            </a:rPr>
            <a:t>-2</a:t>
          </a:r>
          <a:r>
            <a:rPr lang="en-US" cap="none" sz="800" b="0" i="0" u="none" baseline="0">
              <a:latin typeface="Arial"/>
              <a:ea typeface="Arial"/>
              <a:cs typeface="Arial"/>
            </a:rPr>
            <a:t> day</a:t>
          </a:r>
          <a:r>
            <a:rPr lang="en-US" cap="none" sz="800" b="0" i="0" u="none" baseline="30000">
              <a:latin typeface="Arial"/>
              <a:ea typeface="Arial"/>
              <a:cs typeface="Arial"/>
            </a:rPr>
            <a:t>-1</a:t>
          </a:r>
          <a:r>
            <a:rPr lang="en-US" cap="none" sz="800" b="0" i="0" u="none" baseline="0">
              <a:latin typeface="Arial"/>
              <a:ea typeface="Arial"/>
              <a:cs typeface="Arial"/>
            </a:rPr>
            <a:t>  x 365 days  (</a:t>
          </a:r>
          <a:r>
            <a:rPr lang="en-US" cap="none" sz="600" b="0" i="0" u="none" baseline="0">
              <a:latin typeface="Arial"/>
              <a:ea typeface="Arial"/>
              <a:cs typeface="Arial"/>
            </a:rPr>
            <a:t>Aselmann &amp; Crutzen ,1989. J.Atm.Chem. 8, 307-358</a:t>
          </a:r>
          <a:r>
            <a:rPr lang="en-US" cap="none" sz="800" b="0" i="0" u="none" baseline="0">
              <a:latin typeface="Arial"/>
              <a:ea typeface="Arial"/>
              <a:cs typeface="Arial"/>
            </a:rPr>
            <a:t>)</a:t>
          </a:r>
        </a:p>
      </xdr:txBody>
    </xdr:sp>
    <xdr:clientData/>
  </xdr:twoCellAnchor>
  <xdr:twoCellAnchor>
    <xdr:from>
      <xdr:col>4</xdr:col>
      <xdr:colOff>104775</xdr:colOff>
      <xdr:row>25</xdr:row>
      <xdr:rowOff>19050</xdr:rowOff>
    </xdr:from>
    <xdr:to>
      <xdr:col>6</xdr:col>
      <xdr:colOff>590550</xdr:colOff>
      <xdr:row>30</xdr:row>
      <xdr:rowOff>57150</xdr:rowOff>
    </xdr:to>
    <xdr:sp>
      <xdr:nvSpPr>
        <xdr:cNvPr id="3" name="TextBox 5"/>
        <xdr:cNvSpPr txBox="1">
          <a:spLocks noChangeArrowheads="1"/>
        </xdr:cNvSpPr>
      </xdr:nvSpPr>
      <xdr:spPr>
        <a:xfrm>
          <a:off x="6400800" y="4533900"/>
          <a:ext cx="1704975" cy="8667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CO</a:t>
          </a:r>
          <a:r>
            <a:rPr lang="en-US" cap="none" sz="800" b="0" i="0" u="none" baseline="-25000">
              <a:latin typeface="Arial"/>
              <a:ea typeface="Arial"/>
              <a:cs typeface="Arial"/>
            </a:rPr>
            <a:t>2</a:t>
          </a:r>
          <a:r>
            <a:rPr lang="en-US" cap="none" sz="800" b="0" i="0" u="none" baseline="0">
              <a:latin typeface="Arial"/>
              <a:ea typeface="Arial"/>
              <a:cs typeface="Arial"/>
            </a:rPr>
            <a:t> emissions on drainage of organic soils for upland crops (e.g., grain, vegetables) are 3.667x9.6 (7.9-11.3) t CO</a:t>
          </a:r>
          <a:r>
            <a:rPr lang="en-US" cap="none" sz="800" b="0" i="0" u="none" baseline="-25000">
              <a:latin typeface="Arial"/>
              <a:ea typeface="Arial"/>
              <a:cs typeface="Arial"/>
            </a:rPr>
            <a:t>2</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in temperate climates (</a:t>
          </a:r>
          <a:r>
            <a:rPr lang="en-US" cap="none" sz="600" b="0" i="0" u="none" baseline="0">
              <a:latin typeface="Arial"/>
              <a:ea typeface="Arial"/>
              <a:cs typeface="Arial"/>
            </a:rPr>
            <a:t>Armentano and Menges, 1986. J. Ecol. 74, 755-774</a:t>
          </a:r>
          <a:r>
            <a:rPr lang="en-US" cap="none" sz="800" b="0" i="0" u="none" baseline="0">
              <a:latin typeface="Arial"/>
              <a:ea typeface="Arial"/>
              <a:cs typeface="Arial"/>
            </a:rPr>
            <a:t>). </a:t>
          </a:r>
        </a:p>
      </xdr:txBody>
    </xdr:sp>
    <xdr:clientData/>
  </xdr:twoCellAnchor>
  <xdr:twoCellAnchor>
    <xdr:from>
      <xdr:col>2</xdr:col>
      <xdr:colOff>1323975</xdr:colOff>
      <xdr:row>23</xdr:row>
      <xdr:rowOff>104775</xdr:rowOff>
    </xdr:from>
    <xdr:to>
      <xdr:col>4</xdr:col>
      <xdr:colOff>95250</xdr:colOff>
      <xdr:row>26</xdr:row>
      <xdr:rowOff>9525</xdr:rowOff>
    </xdr:to>
    <xdr:sp>
      <xdr:nvSpPr>
        <xdr:cNvPr id="4" name="Line 6"/>
        <xdr:cNvSpPr>
          <a:spLocks/>
        </xdr:cNvSpPr>
      </xdr:nvSpPr>
      <xdr:spPr>
        <a:xfrm flipH="1" flipV="1">
          <a:off x="5667375" y="4248150"/>
          <a:ext cx="7239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33</xdr:row>
      <xdr:rowOff>142875</xdr:rowOff>
    </xdr:from>
    <xdr:to>
      <xdr:col>11</xdr:col>
      <xdr:colOff>447675</xdr:colOff>
      <xdr:row>39</xdr:row>
      <xdr:rowOff>142875</xdr:rowOff>
    </xdr:to>
    <xdr:sp>
      <xdr:nvSpPr>
        <xdr:cNvPr id="5" name="TextBox 9"/>
        <xdr:cNvSpPr txBox="1">
          <a:spLocks noChangeArrowheads="1"/>
        </xdr:cNvSpPr>
      </xdr:nvSpPr>
      <xdr:spPr>
        <a:xfrm>
          <a:off x="6410325" y="5991225"/>
          <a:ext cx="4600575" cy="10191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Equation derived by regression analysis against experimental data from 50 experiments. 41 cases were used and 9 included missing data values. The equation derived was
</a:t>
          </a:r>
          <a:r>
            <a:rPr lang="en-US" cap="none" sz="800" b="0" i="1" u="none" baseline="0">
              <a:latin typeface="Arial"/>
              <a:ea typeface="Arial"/>
              <a:cs typeface="Arial"/>
            </a:rPr>
            <a:t>R</a:t>
          </a:r>
          <a:r>
            <a:rPr lang="en-US" cap="none" sz="800" b="0" i="0" u="none" baseline="-25000">
              <a:latin typeface="Arial"/>
              <a:ea typeface="Arial"/>
              <a:cs typeface="Arial"/>
            </a:rPr>
            <a:t>CO2</a:t>
          </a:r>
          <a:r>
            <a:rPr lang="en-US" cap="none" sz="800" b="0" i="0" u="none" baseline="0">
              <a:latin typeface="Arial"/>
              <a:ea typeface="Arial"/>
              <a:cs typeface="Arial"/>
            </a:rPr>
            <a:t> = (3.667/1000) x (547 + (71.7 </a:t>
          </a:r>
          <a:r>
            <a:rPr lang="en-US" cap="none" sz="800" b="0" i="1" u="none" baseline="0">
              <a:latin typeface="Arial"/>
              <a:ea typeface="Arial"/>
              <a:cs typeface="Arial"/>
            </a:rPr>
            <a:t>T)</a:t>
          </a:r>
          <a:r>
            <a:rPr lang="en-US" cap="none" sz="800" b="0" i="0" u="none" baseline="0">
              <a:latin typeface="Arial"/>
              <a:ea typeface="Arial"/>
              <a:cs typeface="Arial"/>
            </a:rPr>
            <a:t> + (322 </a:t>
          </a:r>
          <a:r>
            <a:rPr lang="en-US" cap="none" sz="800" b="0" i="1" u="none" baseline="0">
              <a:latin typeface="Arial"/>
              <a:ea typeface="Arial"/>
              <a:cs typeface="Arial"/>
            </a:rPr>
            <a:t>D)</a:t>
          </a:r>
          <a:r>
            <a:rPr lang="en-US" cap="none" sz="800" b="0" i="0" u="none" baseline="0">
              <a:latin typeface="Arial"/>
              <a:ea typeface="Arial"/>
              <a:cs typeface="Arial"/>
            </a:rPr>
            <a:t> + (4810 </a:t>
          </a:r>
          <a:r>
            <a:rPr lang="en-US" cap="none" sz="800" b="0" i="1" u="none" baseline="0">
              <a:latin typeface="Arial"/>
              <a:ea typeface="Arial"/>
              <a:cs typeface="Arial"/>
            </a:rPr>
            <a:t>W</a:t>
          </a:r>
          <a:r>
            <a:rPr lang="en-US" cap="none" sz="800" b="0" i="0" u="none" baseline="0">
              <a:latin typeface="Arial"/>
              <a:ea typeface="Arial"/>
              <a:cs typeface="Arial"/>
            </a:rPr>
            <a:t>))
where </a:t>
          </a:r>
          <a:r>
            <a:rPr lang="en-US" cap="none" sz="800" b="0" i="1" u="none" baseline="0">
              <a:latin typeface="Arial"/>
              <a:ea typeface="Arial"/>
              <a:cs typeface="Arial"/>
            </a:rPr>
            <a:t>R</a:t>
          </a:r>
          <a:r>
            <a:rPr lang="en-US" cap="none" sz="800" b="0" i="0" u="none" baseline="-25000">
              <a:latin typeface="Arial"/>
              <a:ea typeface="Arial"/>
              <a:cs typeface="Arial"/>
            </a:rPr>
            <a:t>CO2</a:t>
          </a:r>
          <a:r>
            <a:rPr lang="en-US" cap="none" sz="800" b="0" i="0" u="none" baseline="0">
              <a:latin typeface="Arial"/>
              <a:ea typeface="Arial"/>
              <a:cs typeface="Arial"/>
            </a:rPr>
            <a:t> is the annual rate of CO</a:t>
          </a:r>
          <a:r>
            <a:rPr lang="en-US" cap="none" sz="800" b="0" i="0" u="none" baseline="-25000">
              <a:latin typeface="Arial"/>
              <a:ea typeface="Arial"/>
              <a:cs typeface="Arial"/>
            </a:rPr>
            <a:t>2</a:t>
          </a:r>
          <a:r>
            <a:rPr lang="en-US" cap="none" sz="800" b="0" i="0" u="none" baseline="0">
              <a:latin typeface="Arial"/>
              <a:ea typeface="Arial"/>
              <a:cs typeface="Arial"/>
            </a:rPr>
            <a:t> emissions (t CO</a:t>
          </a:r>
          <a:r>
            <a:rPr lang="en-US" cap="none" sz="800" b="0" i="0" u="none" baseline="-25000">
              <a:latin typeface="Arial"/>
              <a:ea typeface="Arial"/>
              <a:cs typeface="Arial"/>
            </a:rPr>
            <a:t>2</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r>
            <a:rPr lang="en-US" cap="none" sz="800" b="0" i="1" u="none" baseline="0">
              <a:latin typeface="Arial"/>
              <a:ea typeface="Arial"/>
              <a:cs typeface="Arial"/>
            </a:rPr>
            <a:t>T</a:t>
          </a:r>
          <a:r>
            <a:rPr lang="en-US" cap="none" sz="800" b="0" i="0" u="none" baseline="0">
              <a:latin typeface="Arial"/>
              <a:ea typeface="Arial"/>
              <a:cs typeface="Arial"/>
            </a:rPr>
            <a:t> = average annual air temperature (</a:t>
          </a:r>
          <a:r>
            <a:rPr lang="en-US" cap="none" sz="800" b="0" i="0" u="none" baseline="30000">
              <a:latin typeface="Arial"/>
              <a:ea typeface="Arial"/>
              <a:cs typeface="Arial"/>
            </a:rPr>
            <a:t>o</a:t>
          </a:r>
          <a:r>
            <a:rPr lang="en-US" cap="none" sz="800" b="0" i="0" u="none" baseline="0">
              <a:latin typeface="Arial"/>
              <a:ea typeface="Arial"/>
              <a:cs typeface="Arial"/>
            </a:rPr>
            <a:t>C), </a:t>
          </a:r>
          <a:r>
            <a:rPr lang="en-US" cap="none" sz="800" b="0" i="1" u="none" baseline="0">
              <a:latin typeface="Arial"/>
              <a:ea typeface="Arial"/>
              <a:cs typeface="Arial"/>
            </a:rPr>
            <a:t>D</a:t>
          </a:r>
          <a:r>
            <a:rPr lang="en-US" cap="none" sz="800" b="0" i="0" u="none" baseline="0">
              <a:latin typeface="Arial"/>
              <a:ea typeface="Arial"/>
              <a:cs typeface="Arial"/>
            </a:rPr>
            <a:t> is the peat depth (m), and </a:t>
          </a:r>
          <a:r>
            <a:rPr lang="en-US" cap="none" sz="800" b="0" i="1" u="none" baseline="0">
              <a:latin typeface="Arial"/>
              <a:ea typeface="Arial"/>
              <a:cs typeface="Arial"/>
            </a:rPr>
            <a:t>W</a:t>
          </a:r>
          <a:r>
            <a:rPr lang="en-US" cap="none" sz="800" b="0" i="0" u="none" baseline="0">
              <a:latin typeface="Arial"/>
              <a:ea typeface="Arial"/>
              <a:cs typeface="Arial"/>
            </a:rPr>
            <a:t> is the water table depth (m).
The equation has a R</a:t>
          </a:r>
          <a:r>
            <a:rPr lang="en-US" cap="none" sz="800" b="0" i="0" u="none" baseline="30000">
              <a:latin typeface="Arial"/>
              <a:ea typeface="Arial"/>
              <a:cs typeface="Arial"/>
            </a:rPr>
            <a:t>2</a:t>
          </a:r>
          <a:r>
            <a:rPr lang="en-US" cap="none" sz="800" b="0" i="0" u="none" baseline="0">
              <a:latin typeface="Arial"/>
              <a:ea typeface="Arial"/>
              <a:cs typeface="Arial"/>
            </a:rPr>
            <a:t> value of 53.8%, </a:t>
          </a:r>
          <a:r>
            <a:rPr lang="en-US" cap="none" sz="800" b="0" i="1" u="none" baseline="0">
              <a:latin typeface="Arial"/>
              <a:ea typeface="Arial"/>
              <a:cs typeface="Arial"/>
            </a:rPr>
            <a:t>P</a:t>
          </a:r>
          <a:r>
            <a:rPr lang="en-US" cap="none" sz="800" b="0" i="0" u="none" baseline="0">
              <a:latin typeface="Arial"/>
              <a:ea typeface="Arial"/>
              <a:cs typeface="Arial"/>
            </a:rPr>
            <a:t> &lt; 0.0001. By statistical convention, if P&lt;0.001 this relationship can be considered to be highly significant.</a:t>
          </a:r>
        </a:p>
      </xdr:txBody>
    </xdr:sp>
    <xdr:clientData/>
  </xdr:twoCellAnchor>
  <xdr:twoCellAnchor>
    <xdr:from>
      <xdr:col>2</xdr:col>
      <xdr:colOff>1314450</xdr:colOff>
      <xdr:row>38</xdr:row>
      <xdr:rowOff>171450</xdr:rowOff>
    </xdr:from>
    <xdr:to>
      <xdr:col>4</xdr:col>
      <xdr:colOff>85725</xdr:colOff>
      <xdr:row>38</xdr:row>
      <xdr:rowOff>171450</xdr:rowOff>
    </xdr:to>
    <xdr:sp>
      <xdr:nvSpPr>
        <xdr:cNvPr id="6" name="Line 10"/>
        <xdr:cNvSpPr>
          <a:spLocks/>
        </xdr:cNvSpPr>
      </xdr:nvSpPr>
      <xdr:spPr>
        <a:xfrm flipH="1">
          <a:off x="5657850" y="683895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1323975</xdr:colOff>
      <xdr:row>22</xdr:row>
      <xdr:rowOff>104775</xdr:rowOff>
    </xdr:from>
    <xdr:to>
      <xdr:col>4</xdr:col>
      <xdr:colOff>104775</xdr:colOff>
      <xdr:row>22</xdr:row>
      <xdr:rowOff>104775</xdr:rowOff>
    </xdr:to>
    <xdr:sp>
      <xdr:nvSpPr>
        <xdr:cNvPr id="7" name="Line 12"/>
        <xdr:cNvSpPr>
          <a:spLocks/>
        </xdr:cNvSpPr>
      </xdr:nvSpPr>
      <xdr:spPr>
        <a:xfrm flipH="1">
          <a:off x="5667375" y="404812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1323975</xdr:colOff>
      <xdr:row>19</xdr:row>
      <xdr:rowOff>0</xdr:rowOff>
    </xdr:from>
    <xdr:to>
      <xdr:col>4</xdr:col>
      <xdr:colOff>95250</xdr:colOff>
      <xdr:row>21</xdr:row>
      <xdr:rowOff>104775</xdr:rowOff>
    </xdr:to>
    <xdr:sp>
      <xdr:nvSpPr>
        <xdr:cNvPr id="8" name="Line 13"/>
        <xdr:cNvSpPr>
          <a:spLocks/>
        </xdr:cNvSpPr>
      </xdr:nvSpPr>
      <xdr:spPr>
        <a:xfrm flipH="1">
          <a:off x="5667375" y="3429000"/>
          <a:ext cx="72390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40</xdr:row>
      <xdr:rowOff>19050</xdr:rowOff>
    </xdr:from>
    <xdr:to>
      <xdr:col>11</xdr:col>
      <xdr:colOff>428625</xdr:colOff>
      <xdr:row>45</xdr:row>
      <xdr:rowOff>104775</xdr:rowOff>
    </xdr:to>
    <xdr:sp>
      <xdr:nvSpPr>
        <xdr:cNvPr id="9" name="TextBox 16"/>
        <xdr:cNvSpPr txBox="1">
          <a:spLocks noChangeArrowheads="1"/>
        </xdr:cNvSpPr>
      </xdr:nvSpPr>
      <xdr:spPr>
        <a:xfrm>
          <a:off x="6410325" y="7086600"/>
          <a:ext cx="4581525" cy="10287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Equation derived by regression analysis against experimental data from 66 experiments. 40 cases were used and 26 included missing data values. The equation derived was
</a:t>
          </a:r>
          <a:r>
            <a:rPr lang="en-US" cap="none" sz="800" b="0" i="1" u="none" baseline="0">
              <a:latin typeface="Arial"/>
              <a:ea typeface="Arial"/>
              <a:cs typeface="Arial"/>
            </a:rPr>
            <a:t>R</a:t>
          </a:r>
          <a:r>
            <a:rPr lang="en-US" cap="none" sz="800" b="0" i="0" u="none" baseline="-25000">
              <a:latin typeface="Arial"/>
              <a:ea typeface="Arial"/>
              <a:cs typeface="Arial"/>
            </a:rPr>
            <a:t>CH4</a:t>
          </a:r>
          <a:r>
            <a:rPr lang="en-US" cap="none" sz="800" b="0" i="0" u="none" baseline="0">
              <a:latin typeface="Arial"/>
              <a:ea typeface="Arial"/>
              <a:cs typeface="Arial"/>
            </a:rPr>
            <a:t> = (3.667/1000) x (58.4 + (3.11 </a:t>
          </a:r>
          <a:r>
            <a:rPr lang="en-US" cap="none" sz="800" b="0" i="1" u="none" baseline="0">
              <a:latin typeface="Arial"/>
              <a:ea typeface="Arial"/>
              <a:cs typeface="Arial"/>
            </a:rPr>
            <a:t>T)</a:t>
          </a:r>
          <a:r>
            <a:rPr lang="en-US" cap="none" sz="800" b="0" i="0" u="none" baseline="0">
              <a:latin typeface="Arial"/>
              <a:ea typeface="Arial"/>
              <a:cs typeface="Arial"/>
            </a:rPr>
            <a:t> + (16.7 </a:t>
          </a:r>
          <a:r>
            <a:rPr lang="en-US" cap="none" sz="800" b="0" i="1" u="none" baseline="0">
              <a:latin typeface="Arial"/>
              <a:ea typeface="Arial"/>
              <a:cs typeface="Arial"/>
            </a:rPr>
            <a:t>pH</a:t>
          </a:r>
          <a:r>
            <a:rPr lang="en-US" cap="none" sz="800" b="0" i="0" u="none" baseline="0">
              <a:latin typeface="Arial"/>
              <a:ea typeface="Arial"/>
              <a:cs typeface="Arial"/>
            </a:rPr>
            <a:t>) - (410 </a:t>
          </a:r>
          <a:r>
            <a:rPr lang="en-US" cap="none" sz="800" b="0" i="1" u="none" baseline="0">
              <a:latin typeface="Arial"/>
              <a:ea typeface="Arial"/>
              <a:cs typeface="Arial"/>
            </a:rPr>
            <a:t>W</a:t>
          </a:r>
          <a:r>
            <a:rPr lang="en-US" cap="none" sz="800" b="0" i="0" u="none" baseline="0">
              <a:latin typeface="Arial"/>
              <a:ea typeface="Arial"/>
              <a:cs typeface="Arial"/>
            </a:rPr>
            <a:t>)) 
where </a:t>
          </a:r>
          <a:r>
            <a:rPr lang="en-US" cap="none" sz="800" b="0" i="1" u="none" baseline="0">
              <a:latin typeface="Arial"/>
              <a:ea typeface="Arial"/>
              <a:cs typeface="Arial"/>
            </a:rPr>
            <a:t>R</a:t>
          </a:r>
          <a:r>
            <a:rPr lang="en-US" cap="none" sz="800" b="0" i="0" u="none" baseline="-25000">
              <a:latin typeface="Arial"/>
              <a:ea typeface="Arial"/>
              <a:cs typeface="Arial"/>
            </a:rPr>
            <a:t>CH4</a:t>
          </a:r>
          <a:r>
            <a:rPr lang="en-US" cap="none" sz="800" b="0" i="0" u="none" baseline="0">
              <a:latin typeface="Arial"/>
              <a:ea typeface="Arial"/>
              <a:cs typeface="Arial"/>
            </a:rPr>
            <a:t> is the annual rate of CH</a:t>
          </a:r>
          <a:r>
            <a:rPr lang="en-US" cap="none" sz="800" b="0" i="0" u="none" baseline="-25000">
              <a:latin typeface="Arial"/>
              <a:ea typeface="Arial"/>
              <a:cs typeface="Arial"/>
            </a:rPr>
            <a:t>4</a:t>
          </a:r>
          <a:r>
            <a:rPr lang="en-US" cap="none" sz="800" b="0" i="0" u="none" baseline="0">
              <a:latin typeface="Arial"/>
              <a:ea typeface="Arial"/>
              <a:cs typeface="Arial"/>
            </a:rPr>
            <a:t> emissions (t CO</a:t>
          </a:r>
          <a:r>
            <a:rPr lang="en-US" cap="none" sz="800" b="0" i="0" u="none" baseline="-25000">
              <a:latin typeface="Arial"/>
              <a:ea typeface="Arial"/>
              <a:cs typeface="Arial"/>
            </a:rPr>
            <a:t>2</a:t>
          </a:r>
          <a:r>
            <a:rPr lang="en-US" cap="none" sz="800" b="0" i="0" u="none" baseline="0">
              <a:latin typeface="Arial"/>
              <a:ea typeface="Arial"/>
              <a:cs typeface="Arial"/>
            </a:rPr>
            <a:t>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 </a:t>
          </a:r>
          <a:r>
            <a:rPr lang="en-US" cap="none" sz="800" b="0" i="1" u="none" baseline="0">
              <a:latin typeface="Arial"/>
              <a:ea typeface="Arial"/>
              <a:cs typeface="Arial"/>
            </a:rPr>
            <a:t>T</a:t>
          </a:r>
          <a:r>
            <a:rPr lang="en-US" cap="none" sz="800" b="0" i="0" u="none" baseline="0">
              <a:latin typeface="Arial"/>
              <a:ea typeface="Arial"/>
              <a:cs typeface="Arial"/>
            </a:rPr>
            <a:t> = average annual air temperature (</a:t>
          </a:r>
          <a:r>
            <a:rPr lang="en-US" cap="none" sz="800" b="0" i="0" u="none" baseline="30000">
              <a:latin typeface="Arial"/>
              <a:ea typeface="Arial"/>
              <a:cs typeface="Arial"/>
            </a:rPr>
            <a:t>o</a:t>
          </a:r>
          <a:r>
            <a:rPr lang="en-US" cap="none" sz="800" b="0" i="0" u="none" baseline="0">
              <a:latin typeface="Arial"/>
              <a:ea typeface="Arial"/>
              <a:cs typeface="Arial"/>
            </a:rPr>
            <a:t>C), </a:t>
          </a:r>
          <a:r>
            <a:rPr lang="en-US" cap="none" sz="800" b="0" i="1" u="none" baseline="0">
              <a:latin typeface="Arial"/>
              <a:ea typeface="Arial"/>
              <a:cs typeface="Arial"/>
            </a:rPr>
            <a:t>pH</a:t>
          </a:r>
          <a:r>
            <a:rPr lang="en-US" cap="none" sz="800" b="0" i="0" u="none" baseline="0">
              <a:latin typeface="Arial"/>
              <a:ea typeface="Arial"/>
              <a:cs typeface="Arial"/>
            </a:rPr>
            <a:t> is the soil pH and</a:t>
          </a:r>
          <a:r>
            <a:rPr lang="en-US" cap="none" sz="800" b="0" i="1" u="none" baseline="0">
              <a:latin typeface="Arial"/>
              <a:ea typeface="Arial"/>
              <a:cs typeface="Arial"/>
            </a:rPr>
            <a:t>W</a:t>
          </a:r>
          <a:r>
            <a:rPr lang="en-US" cap="none" sz="800" b="0" i="0" u="none" baseline="0">
              <a:latin typeface="Arial"/>
              <a:ea typeface="Arial"/>
              <a:cs typeface="Arial"/>
            </a:rPr>
            <a:t> is the water table depth (m).
The equation has a R</a:t>
          </a:r>
          <a:r>
            <a:rPr lang="en-US" cap="none" sz="800" b="0" i="0" u="none" baseline="30000">
              <a:latin typeface="Arial"/>
              <a:ea typeface="Arial"/>
              <a:cs typeface="Arial"/>
            </a:rPr>
            <a:t>2</a:t>
          </a:r>
          <a:r>
            <a:rPr lang="en-US" cap="none" sz="800" b="0" i="0" u="none" baseline="0">
              <a:latin typeface="Arial"/>
              <a:ea typeface="Arial"/>
              <a:cs typeface="Arial"/>
            </a:rPr>
            <a:t> value of 52.7%, </a:t>
          </a:r>
          <a:r>
            <a:rPr lang="en-US" cap="none" sz="800" b="0" i="1" u="none" baseline="0">
              <a:latin typeface="Arial"/>
              <a:ea typeface="Arial"/>
              <a:cs typeface="Arial"/>
            </a:rPr>
            <a:t>P</a:t>
          </a:r>
          <a:r>
            <a:rPr lang="en-US" cap="none" sz="800" b="0" i="0" u="none" baseline="0">
              <a:latin typeface="Arial"/>
              <a:ea typeface="Arial"/>
              <a:cs typeface="Arial"/>
            </a:rPr>
            <a:t> &lt;0.0001. By statistical convention, if P&lt;0.001 this relationship can be considered to be highly significant.</a:t>
          </a:r>
        </a:p>
      </xdr:txBody>
    </xdr:sp>
    <xdr:clientData/>
  </xdr:twoCellAnchor>
  <xdr:twoCellAnchor>
    <xdr:from>
      <xdr:col>2</xdr:col>
      <xdr:colOff>1323975</xdr:colOff>
      <xdr:row>41</xdr:row>
      <xdr:rowOff>9525</xdr:rowOff>
    </xdr:from>
    <xdr:to>
      <xdr:col>4</xdr:col>
      <xdr:colOff>95250</xdr:colOff>
      <xdr:row>41</xdr:row>
      <xdr:rowOff>9525</xdr:rowOff>
    </xdr:to>
    <xdr:sp>
      <xdr:nvSpPr>
        <xdr:cNvPr id="10" name="Line 17"/>
        <xdr:cNvSpPr>
          <a:spLocks/>
        </xdr:cNvSpPr>
      </xdr:nvSpPr>
      <xdr:spPr>
        <a:xfrm flipH="1">
          <a:off x="5667375" y="72771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8</xdr:row>
      <xdr:rowOff>190500</xdr:rowOff>
    </xdr:from>
    <xdr:to>
      <xdr:col>6</xdr:col>
      <xdr:colOff>581025</xdr:colOff>
      <xdr:row>12</xdr:row>
      <xdr:rowOff>114300</xdr:rowOff>
    </xdr:to>
    <xdr:sp>
      <xdr:nvSpPr>
        <xdr:cNvPr id="1" name="TextBox 1"/>
        <xdr:cNvSpPr txBox="1">
          <a:spLocks noChangeArrowheads="1"/>
        </xdr:cNvSpPr>
      </xdr:nvSpPr>
      <xdr:spPr>
        <a:xfrm>
          <a:off x="5419725" y="1581150"/>
          <a:ext cx="2466975" cy="7334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export from temperate and boreal peatlands ranges between 10 and 500 kg DOC ha</a:t>
          </a:r>
          <a:r>
            <a:rPr lang="en-US" cap="none" sz="800" b="0" i="0" u="none" baseline="30000">
              <a:latin typeface="Arial"/>
              <a:ea typeface="Arial"/>
              <a:cs typeface="Arial"/>
            </a:rPr>
            <a:t>-1</a:t>
          </a:r>
          <a:r>
            <a:rPr lang="en-US" cap="none" sz="800" b="0" i="0" u="none" baseline="0">
              <a:latin typeface="Arial"/>
              <a:ea typeface="Arial"/>
              <a:cs typeface="Arial"/>
            </a:rPr>
            <a:t> yr</a:t>
          </a:r>
          <a:r>
            <a:rPr lang="en-US" cap="none" sz="800" b="0" i="0" u="none" baseline="30000">
              <a:latin typeface="Arial"/>
              <a:ea typeface="Arial"/>
              <a:cs typeface="Arial"/>
            </a:rPr>
            <a:t>-1</a:t>
          </a:r>
          <a:r>
            <a:rPr lang="en-US" cap="none" sz="800" b="0" i="0" u="none" baseline="0">
              <a:latin typeface="Arial"/>
              <a:ea typeface="Arial"/>
              <a:cs typeface="Arial"/>
            </a:rPr>
            <a:t>(</a:t>
          </a:r>
          <a:r>
            <a:rPr lang="en-US" cap="none" sz="600" b="0" i="0" u="none" baseline="0">
              <a:latin typeface="Arial"/>
              <a:ea typeface="Arial"/>
              <a:cs typeface="Arial"/>
            </a:rPr>
            <a:t>Dillon, P.J. and Molot, L.A. (1997)  Water Resources Research 33, 2591–2600</a:t>
          </a:r>
          <a:r>
            <a:rPr lang="en-US" cap="none" sz="800" b="0" i="0" u="none" baseline="0">
              <a:latin typeface="Arial"/>
              <a:ea typeface="Arial"/>
              <a:cs typeface="Arial"/>
            </a:rPr>
            <a:t>), which typically represents around 10% of the total C release. </a:t>
          </a:r>
        </a:p>
      </xdr:txBody>
    </xdr:sp>
    <xdr:clientData/>
  </xdr:twoCellAnchor>
  <xdr:twoCellAnchor>
    <xdr:from>
      <xdr:col>3</xdr:col>
      <xdr:colOff>19050</xdr:colOff>
      <xdr:row>11</xdr:row>
      <xdr:rowOff>57150</xdr:rowOff>
    </xdr:from>
    <xdr:to>
      <xdr:col>3</xdr:col>
      <xdr:colOff>714375</xdr:colOff>
      <xdr:row>12</xdr:row>
      <xdr:rowOff>85725</xdr:rowOff>
    </xdr:to>
    <xdr:sp>
      <xdr:nvSpPr>
        <xdr:cNvPr id="2" name="Line 2"/>
        <xdr:cNvSpPr>
          <a:spLocks/>
        </xdr:cNvSpPr>
      </xdr:nvSpPr>
      <xdr:spPr>
        <a:xfrm flipH="1">
          <a:off x="4724400" y="2057400"/>
          <a:ext cx="69532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12</xdr:row>
      <xdr:rowOff>152400</xdr:rowOff>
    </xdr:from>
    <xdr:to>
      <xdr:col>6</xdr:col>
      <xdr:colOff>581025</xdr:colOff>
      <xdr:row>14</xdr:row>
      <xdr:rowOff>123825</xdr:rowOff>
    </xdr:to>
    <xdr:sp>
      <xdr:nvSpPr>
        <xdr:cNvPr id="3" name="TextBox 3"/>
        <xdr:cNvSpPr txBox="1">
          <a:spLocks noChangeArrowheads="1"/>
        </xdr:cNvSpPr>
      </xdr:nvSpPr>
      <xdr:spPr>
        <a:xfrm>
          <a:off x="5419725" y="2352675"/>
          <a:ext cx="2466975" cy="3333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In the long term, 100% of leached DOC is assumed to be lost as CO</a:t>
          </a:r>
          <a:r>
            <a:rPr lang="en-US" cap="none" sz="800" b="0" i="0" u="none" baseline="-25000">
              <a:latin typeface="Arial"/>
              <a:ea typeface="Arial"/>
              <a:cs typeface="Arial"/>
            </a:rPr>
            <a:t>2</a:t>
          </a:r>
        </a:p>
      </xdr:txBody>
    </xdr:sp>
    <xdr:clientData/>
  </xdr:twoCellAnchor>
  <xdr:twoCellAnchor>
    <xdr:from>
      <xdr:col>3</xdr:col>
      <xdr:colOff>28575</xdr:colOff>
      <xdr:row>13</xdr:row>
      <xdr:rowOff>76200</xdr:rowOff>
    </xdr:from>
    <xdr:to>
      <xdr:col>3</xdr:col>
      <xdr:colOff>714375</xdr:colOff>
      <xdr:row>13</xdr:row>
      <xdr:rowOff>76200</xdr:rowOff>
    </xdr:to>
    <xdr:sp>
      <xdr:nvSpPr>
        <xdr:cNvPr id="4" name="Line 4"/>
        <xdr:cNvSpPr>
          <a:spLocks/>
        </xdr:cNvSpPr>
      </xdr:nvSpPr>
      <xdr:spPr>
        <a:xfrm flipH="1">
          <a:off x="4733925" y="2438400"/>
          <a:ext cx="685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15</xdr:row>
      <xdr:rowOff>76200</xdr:rowOff>
    </xdr:from>
    <xdr:to>
      <xdr:col>6</xdr:col>
      <xdr:colOff>581025</xdr:colOff>
      <xdr:row>20</xdr:row>
      <xdr:rowOff>38100</xdr:rowOff>
    </xdr:to>
    <xdr:sp>
      <xdr:nvSpPr>
        <xdr:cNvPr id="5" name="TextBox 5"/>
        <xdr:cNvSpPr txBox="1">
          <a:spLocks noChangeArrowheads="1"/>
        </xdr:cNvSpPr>
      </xdr:nvSpPr>
      <xdr:spPr>
        <a:xfrm>
          <a:off x="5419725" y="2800350"/>
          <a:ext cx="2466975" cy="8191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The export from temperate and boreal peatlands ranges between 12 and 15% of the total gaseous C loss (</a:t>
          </a:r>
          <a:r>
            <a:rPr lang="en-US" cap="none" sz="600" b="0" i="0" u="none" baseline="0">
              <a:latin typeface="Arial"/>
              <a:ea typeface="Arial"/>
              <a:cs typeface="Arial"/>
            </a:rPr>
            <a:t>Worrall, F., Reed, M., Warburton, J., Burt, T., 2003. Carbon budget for a British upland peat catchment. The Science of the Total Environment, 312, 133–146.) Tables 1 and 2.</a:t>
          </a:r>
        </a:p>
      </xdr:txBody>
    </xdr:sp>
    <xdr:clientData/>
  </xdr:twoCellAnchor>
  <xdr:twoCellAnchor>
    <xdr:from>
      <xdr:col>3</xdr:col>
      <xdr:colOff>714375</xdr:colOff>
      <xdr:row>20</xdr:row>
      <xdr:rowOff>76200</xdr:rowOff>
    </xdr:from>
    <xdr:to>
      <xdr:col>6</xdr:col>
      <xdr:colOff>581025</xdr:colOff>
      <xdr:row>21</xdr:row>
      <xdr:rowOff>190500</xdr:rowOff>
    </xdr:to>
    <xdr:sp>
      <xdr:nvSpPr>
        <xdr:cNvPr id="6" name="TextBox 6"/>
        <xdr:cNvSpPr txBox="1">
          <a:spLocks noChangeArrowheads="1"/>
        </xdr:cNvSpPr>
      </xdr:nvSpPr>
      <xdr:spPr>
        <a:xfrm>
          <a:off x="5419725" y="3657600"/>
          <a:ext cx="2466975" cy="3143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In the long term, 100% of leached DOC is assumed to be lost as CO</a:t>
          </a:r>
          <a:r>
            <a:rPr lang="en-US" cap="none" sz="800" b="0" i="0" u="none" baseline="-25000">
              <a:latin typeface="Arial"/>
              <a:ea typeface="Arial"/>
              <a:cs typeface="Arial"/>
            </a:rPr>
            <a:t>2</a:t>
          </a:r>
        </a:p>
      </xdr:txBody>
    </xdr:sp>
    <xdr:clientData/>
  </xdr:twoCellAnchor>
  <xdr:twoCellAnchor>
    <xdr:from>
      <xdr:col>3</xdr:col>
      <xdr:colOff>9525</xdr:colOff>
      <xdr:row>16</xdr:row>
      <xdr:rowOff>95250</xdr:rowOff>
    </xdr:from>
    <xdr:to>
      <xdr:col>3</xdr:col>
      <xdr:colOff>704850</xdr:colOff>
      <xdr:row>16</xdr:row>
      <xdr:rowOff>95250</xdr:rowOff>
    </xdr:to>
    <xdr:sp>
      <xdr:nvSpPr>
        <xdr:cNvPr id="7" name="Line 7"/>
        <xdr:cNvSpPr>
          <a:spLocks/>
        </xdr:cNvSpPr>
      </xdr:nvSpPr>
      <xdr:spPr>
        <a:xfrm flipH="1">
          <a:off x="4714875" y="301942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18</xdr:row>
      <xdr:rowOff>85725</xdr:rowOff>
    </xdr:from>
    <xdr:to>
      <xdr:col>3</xdr:col>
      <xdr:colOff>714375</xdr:colOff>
      <xdr:row>21</xdr:row>
      <xdr:rowOff>9525</xdr:rowOff>
    </xdr:to>
    <xdr:sp>
      <xdr:nvSpPr>
        <xdr:cNvPr id="8" name="Line 8"/>
        <xdr:cNvSpPr>
          <a:spLocks/>
        </xdr:cNvSpPr>
      </xdr:nvSpPr>
      <xdr:spPr>
        <a:xfrm flipH="1" flipV="1">
          <a:off x="4705350" y="3333750"/>
          <a:ext cx="71437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0.11975</cdr:x>
      <cdr:y>0.097</cdr:y>
    </cdr:from>
    <cdr:to>
      <cdr:x>0.91625</cdr:x>
      <cdr:y>1</cdr:y>
    </cdr:to>
    <cdr:sp>
      <cdr:nvSpPr>
        <cdr:cNvPr id="1" name="Rectangle 1"/>
        <cdr:cNvSpPr>
          <a:spLocks/>
        </cdr:cNvSpPr>
      </cdr:nvSpPr>
      <cdr:spPr>
        <a:xfrm>
          <a:off x="685800" y="247650"/>
          <a:ext cx="4600575" cy="2381250"/>
        </a:xfrm>
        <a:prstGeom prst="rect">
          <a:avLst/>
        </a:prstGeom>
        <a:noFill/>
        <a:ln w="9525"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0.1335</cdr:x>
      <cdr:y>0.08325</cdr:y>
    </cdr:from>
    <cdr:to>
      <cdr:x>0.9335</cdr:x>
      <cdr:y>1</cdr:y>
    </cdr:to>
    <cdr:sp>
      <cdr:nvSpPr>
        <cdr:cNvPr id="1" name="Rectangle 1"/>
        <cdr:cNvSpPr>
          <a:spLocks/>
        </cdr:cNvSpPr>
      </cdr:nvSpPr>
      <cdr:spPr>
        <a:xfrm>
          <a:off x="771525" y="209550"/>
          <a:ext cx="4629150" cy="2381250"/>
        </a:xfrm>
        <a:prstGeom prst="rect">
          <a:avLst/>
        </a:prstGeom>
        <a:noFill/>
        <a:ln w="9525"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28575</xdr:rowOff>
    </xdr:from>
    <xdr:to>
      <xdr:col>4</xdr:col>
      <xdr:colOff>1085850</xdr:colOff>
      <xdr:row>51</xdr:row>
      <xdr:rowOff>28575</xdr:rowOff>
    </xdr:to>
    <xdr:graphicFrame>
      <xdr:nvGraphicFramePr>
        <xdr:cNvPr id="1" name="Chart 9"/>
        <xdr:cNvGraphicFramePr/>
      </xdr:nvGraphicFramePr>
      <xdr:xfrm>
        <a:off x="9525" y="8982075"/>
        <a:ext cx="5772150" cy="2638425"/>
      </xdr:xfrm>
      <a:graphic>
        <a:graphicData uri="http://schemas.openxmlformats.org/drawingml/2006/chart">
          <c:chart xmlns:c="http://schemas.openxmlformats.org/drawingml/2006/chart" r:id="rId1"/>
        </a:graphicData>
      </a:graphic>
    </xdr:graphicFrame>
    <xdr:clientData/>
  </xdr:twoCellAnchor>
  <xdr:twoCellAnchor>
    <xdr:from>
      <xdr:col>4</xdr:col>
      <xdr:colOff>1057275</xdr:colOff>
      <xdr:row>35</xdr:row>
      <xdr:rowOff>57150</xdr:rowOff>
    </xdr:from>
    <xdr:to>
      <xdr:col>10</xdr:col>
      <xdr:colOff>104775</xdr:colOff>
      <xdr:row>51</xdr:row>
      <xdr:rowOff>19050</xdr:rowOff>
    </xdr:to>
    <xdr:graphicFrame>
      <xdr:nvGraphicFramePr>
        <xdr:cNvPr id="2" name="Chart 10"/>
        <xdr:cNvGraphicFramePr/>
      </xdr:nvGraphicFramePr>
      <xdr:xfrm>
        <a:off x="5753100" y="9010650"/>
        <a:ext cx="5791200" cy="26003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11</xdr:row>
      <xdr:rowOff>95250</xdr:rowOff>
    </xdr:from>
    <xdr:to>
      <xdr:col>3</xdr:col>
      <xdr:colOff>171450</xdr:colOff>
      <xdr:row>11</xdr:row>
      <xdr:rowOff>95250</xdr:rowOff>
    </xdr:to>
    <xdr:sp>
      <xdr:nvSpPr>
        <xdr:cNvPr id="1" name="Line 8"/>
        <xdr:cNvSpPr>
          <a:spLocks/>
        </xdr:cNvSpPr>
      </xdr:nvSpPr>
      <xdr:spPr>
        <a:xfrm flipH="1">
          <a:off x="5534025" y="2133600"/>
          <a:ext cx="619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5</xdr:row>
      <xdr:rowOff>28575</xdr:rowOff>
    </xdr:from>
    <xdr:to>
      <xdr:col>9</xdr:col>
      <xdr:colOff>333375</xdr:colOff>
      <xdr:row>21</xdr:row>
      <xdr:rowOff>133350</xdr:rowOff>
    </xdr:to>
    <xdr:grpSp>
      <xdr:nvGrpSpPr>
        <xdr:cNvPr id="2" name="Group 17"/>
        <xdr:cNvGrpSpPr>
          <a:grpSpLocks/>
        </xdr:cNvGrpSpPr>
      </xdr:nvGrpSpPr>
      <xdr:grpSpPr>
        <a:xfrm>
          <a:off x="6076950" y="733425"/>
          <a:ext cx="5876925" cy="3571875"/>
          <a:chOff x="651" y="81"/>
          <a:chExt cx="617" cy="333"/>
        </a:xfrm>
        <a:solidFill>
          <a:srgbClr val="FFFFFF"/>
        </a:solidFill>
      </xdr:grpSpPr>
      <xdr:sp>
        <xdr:nvSpPr>
          <xdr:cNvPr id="3" name="TextBox 13"/>
          <xdr:cNvSpPr txBox="1">
            <a:spLocks noChangeArrowheads="1"/>
          </xdr:cNvSpPr>
        </xdr:nvSpPr>
        <xdr:spPr>
          <a:xfrm>
            <a:off x="651" y="81"/>
            <a:ext cx="617" cy="333"/>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Box 7"/>
          <xdr:cNvSpPr txBox="1">
            <a:spLocks noChangeArrowheads="1"/>
          </xdr:cNvSpPr>
        </xdr:nvSpPr>
        <xdr:spPr>
          <a:xfrm>
            <a:off x="657" y="85"/>
            <a:ext cx="422" cy="325"/>
          </a:xfrm>
          <a:prstGeom prst="rect">
            <a:avLst/>
          </a:prstGeom>
          <a:solidFill>
            <a:srgbClr val="CCFFCC"/>
          </a:solidFill>
          <a:ln w="9525" cmpd="sng">
            <a:noFill/>
          </a:ln>
        </xdr:spPr>
        <xdr:txBody>
          <a:bodyPr vertOverflow="clip" wrap="square"/>
          <a:p>
            <a:pPr algn="l">
              <a:defRPr/>
            </a:pPr>
            <a:r>
              <a:rPr lang="en-US" cap="none" sz="800" b="0" i="0" u="none" baseline="0">
                <a:latin typeface="Arial"/>
                <a:ea typeface="Arial"/>
                <a:cs typeface="Arial"/>
              </a:rPr>
              <a:t>Defensible figures for the specific wind farm should be used wherever possible, but if these are unavailable, carbon dioxide emissions due to the turbine life,</a:t>
            </a:r>
            <a:r>
              <a:rPr lang="en-US" cap="none" sz="800" b="0" i="1" u="none" baseline="0">
                <a:latin typeface="Arial"/>
                <a:ea typeface="Arial"/>
                <a:cs typeface="Arial"/>
              </a:rPr>
              <a:t> L</a:t>
            </a:r>
            <a:r>
              <a:rPr lang="en-US" cap="none" sz="800" b="0" i="0" u="none" baseline="-25000">
                <a:latin typeface="Arial"/>
                <a:ea typeface="Arial"/>
                <a:cs typeface="Arial"/>
              </a:rPr>
              <a:t>life</a:t>
            </a:r>
            <a:r>
              <a:rPr lang="en-US" cap="none" sz="800" b="0" i="0" u="none" baseline="0">
                <a:latin typeface="Arial"/>
                <a:ea typeface="Arial"/>
                <a:cs typeface="Arial"/>
              </a:rPr>
              <a:t> (t), can be estimated from the turbine capacity, </a:t>
            </a:r>
            <a:r>
              <a:rPr lang="en-US" cap="none" sz="800" b="0" i="1" u="none" baseline="0">
                <a:latin typeface="Arial"/>
                <a:ea typeface="Arial"/>
                <a:cs typeface="Arial"/>
              </a:rPr>
              <a:t>c</a:t>
            </a:r>
            <a:r>
              <a:rPr lang="en-US" cap="none" sz="800" b="0" i="0" u="none" baseline="-25000">
                <a:latin typeface="Arial"/>
                <a:ea typeface="Arial"/>
                <a:cs typeface="Arial"/>
              </a:rPr>
              <a:t>turb</a:t>
            </a:r>
            <a:r>
              <a:rPr lang="en-US" cap="none" sz="800" b="0" i="0" u="none" baseline="0">
                <a:latin typeface="Arial"/>
                <a:ea typeface="Arial"/>
                <a:cs typeface="Arial"/>
              </a:rPr>
              <a:t> (MW), using the following equation. This equation was derived using data from 18 European sites with a highly significant fit (P&gt;0.95).
                                         </a:t>
            </a:r>
            <a:r>
              <a:rPr lang="en-US" cap="none" sz="800" b="0" i="1" u="none" baseline="0">
                <a:latin typeface="Arial"/>
                <a:ea typeface="Arial"/>
                <a:cs typeface="Arial"/>
              </a:rPr>
              <a:t>L</a:t>
            </a:r>
            <a:r>
              <a:rPr lang="en-US" cap="none" sz="800" b="0" i="0" u="none" baseline="-25000">
                <a:latin typeface="Arial"/>
                <a:ea typeface="Arial"/>
                <a:cs typeface="Arial"/>
              </a:rPr>
              <a:t>life </a:t>
            </a:r>
            <a:r>
              <a:rPr lang="en-US" cap="none" sz="800" b="0" i="0" u="none" baseline="0">
                <a:latin typeface="Arial"/>
                <a:ea typeface="Arial"/>
                <a:cs typeface="Arial"/>
              </a:rPr>
              <a:t>= 138 + (286 x </a:t>
            </a:r>
            <a:r>
              <a:rPr lang="en-US" cap="none" sz="800" b="0" i="1" u="none" baseline="0">
                <a:latin typeface="Arial"/>
                <a:ea typeface="Arial"/>
                <a:cs typeface="Arial"/>
              </a:rPr>
              <a:t>c</a:t>
            </a:r>
            <a:r>
              <a:rPr lang="en-US" cap="none" sz="800" b="0" i="0" u="none" baseline="-25000">
                <a:latin typeface="Arial"/>
                <a:ea typeface="Arial"/>
                <a:cs typeface="Arial"/>
              </a:rPr>
              <a:t>turb</a:t>
            </a:r>
            <a:r>
              <a:rPr lang="en-US" cap="none" sz="800" b="0" i="0" u="none" baseline="0">
                <a:latin typeface="Arial"/>
                <a:ea typeface="Arial"/>
                <a:cs typeface="Arial"/>
              </a:rPr>
              <a:t>).
Evaluation against independent data indicates that using this equation instead of site specific measurements will introduce an average error in estimated carbon dioxide emissions of 39%. However, the uncertainty in estimated carbon payback time introduced by this error is small and decreases with turbine capacity: uncertainty is less than 6 months for a turbine capacity under 0.5 MW; less than 1.5 months for a turbine capacity between 0.5 and 1 MW, and approximately 1 month for a turbine capacity over 1 MW. Note that inclusion of a life cycle figure for wind farms would ideally require that equivalent life cycle costs for conventional power sources are included in the carbon emission savings figure. However, in the absence of comparative figures for coal and gas generating plants, it should be noted that this is an over-estimate of the life cycle costs of a wind farm. A comprehensive life cycle assessment of a modern UK wind farm would provide more robust figures.
</a:t>
            </a:r>
          </a:p>
        </xdr:txBody>
      </xdr:sp>
      <xdr:pic>
        <xdr:nvPicPr>
          <xdr:cNvPr id="5" name="Picture 12"/>
          <xdr:cNvPicPr preferRelativeResize="1">
            <a:picLocks noChangeAspect="1"/>
          </xdr:cNvPicPr>
        </xdr:nvPicPr>
        <xdr:blipFill>
          <a:blip r:embed="rId1"/>
          <a:stretch>
            <a:fillRect/>
          </a:stretch>
        </xdr:blipFill>
        <xdr:spPr>
          <a:xfrm>
            <a:off x="1078" y="90"/>
            <a:ext cx="177" cy="134"/>
          </a:xfrm>
          <a:prstGeom prst="rect">
            <a:avLst/>
          </a:prstGeom>
          <a:noFill/>
          <a:ln w="9525" cmpd="sng">
            <a:noFill/>
          </a:ln>
        </xdr:spPr>
      </xdr:pic>
      <xdr:sp>
        <xdr:nvSpPr>
          <xdr:cNvPr id="6" name="TextBox 14"/>
          <xdr:cNvSpPr txBox="1">
            <a:spLocks noChangeArrowheads="1"/>
          </xdr:cNvSpPr>
        </xdr:nvSpPr>
        <xdr:spPr>
          <a:xfrm>
            <a:off x="1083" y="221"/>
            <a:ext cx="156" cy="32"/>
          </a:xfrm>
          <a:prstGeom prst="rect">
            <a:avLst/>
          </a:prstGeom>
          <a:noFill/>
          <a:ln w="9525" cmpd="sng">
            <a:noFill/>
          </a:ln>
        </xdr:spPr>
        <xdr:txBody>
          <a:bodyPr vertOverflow="clip" wrap="square"/>
          <a:p>
            <a:pPr algn="l">
              <a:defRPr/>
            </a:pPr>
            <a:r>
              <a:rPr lang="en-US" cap="none" sz="800" b="0" i="0" u="none" baseline="0">
                <a:latin typeface="Arial"/>
                <a:ea typeface="Arial"/>
                <a:cs typeface="Arial"/>
              </a:rPr>
              <a:t>Derivation of equation from 18 European sites</a:t>
            </a:r>
          </a:p>
        </xdr:txBody>
      </xdr:sp>
      <xdr:pic>
        <xdr:nvPicPr>
          <xdr:cNvPr id="7" name="Picture 15"/>
          <xdr:cNvPicPr preferRelativeResize="1">
            <a:picLocks noChangeAspect="1"/>
          </xdr:cNvPicPr>
        </xdr:nvPicPr>
        <xdr:blipFill>
          <a:blip r:embed="rId2"/>
          <a:stretch>
            <a:fillRect/>
          </a:stretch>
        </xdr:blipFill>
        <xdr:spPr>
          <a:xfrm>
            <a:off x="1085" y="255"/>
            <a:ext cx="163" cy="128"/>
          </a:xfrm>
          <a:prstGeom prst="rect">
            <a:avLst/>
          </a:prstGeom>
          <a:noFill/>
          <a:ln w="9525" cmpd="sng">
            <a:noFill/>
          </a:ln>
        </xdr:spPr>
      </xdr:pic>
      <xdr:sp>
        <xdr:nvSpPr>
          <xdr:cNvPr id="8" name="TextBox 16"/>
          <xdr:cNvSpPr txBox="1">
            <a:spLocks noChangeArrowheads="1"/>
          </xdr:cNvSpPr>
        </xdr:nvSpPr>
        <xdr:spPr>
          <a:xfrm>
            <a:off x="1087" y="379"/>
            <a:ext cx="156" cy="32"/>
          </a:xfrm>
          <a:prstGeom prst="rect">
            <a:avLst/>
          </a:prstGeom>
          <a:noFill/>
          <a:ln w="9525" cmpd="sng">
            <a:noFill/>
          </a:ln>
        </xdr:spPr>
        <xdr:txBody>
          <a:bodyPr vertOverflow="clip" wrap="square"/>
          <a:p>
            <a:pPr algn="l">
              <a:defRPr/>
            </a:pPr>
            <a:r>
              <a:rPr lang="en-US" cap="none" sz="800" b="0" i="0" u="none" baseline="0">
                <a:latin typeface="Arial"/>
                <a:ea typeface="Arial"/>
                <a:cs typeface="Arial"/>
              </a:rPr>
              <a:t>Evaluation of equation against independent data</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723900</xdr:colOff>
      <xdr:row>22</xdr:row>
      <xdr:rowOff>209550</xdr:rowOff>
    </xdr:from>
    <xdr:to>
      <xdr:col>5</xdr:col>
      <xdr:colOff>228600</xdr:colOff>
      <xdr:row>30</xdr:row>
      <xdr:rowOff>85725</xdr:rowOff>
    </xdr:to>
    <xdr:sp>
      <xdr:nvSpPr>
        <xdr:cNvPr id="1" name="TextBox 4"/>
        <xdr:cNvSpPr txBox="1">
          <a:spLocks noChangeArrowheads="1"/>
        </xdr:cNvSpPr>
      </xdr:nvSpPr>
      <xdr:spPr>
        <a:xfrm>
          <a:off x="5810250" y="4133850"/>
          <a:ext cx="1704975" cy="15430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Backup assumed to be by fossil-fuel-mix of electricity generation. Note that hydroelectricity may also be used for backup, so this assumption may make the value for backup generation too high. These assumptions should be revisited as technology develops.</a:t>
          </a:r>
        </a:p>
      </xdr:txBody>
    </xdr:sp>
    <xdr:clientData/>
  </xdr:twoCellAnchor>
  <xdr:twoCellAnchor>
    <xdr:from>
      <xdr:col>2</xdr:col>
      <xdr:colOff>2181225</xdr:colOff>
      <xdr:row>26</xdr:row>
      <xdr:rowOff>228600</xdr:rowOff>
    </xdr:from>
    <xdr:to>
      <xdr:col>3</xdr:col>
      <xdr:colOff>714375</xdr:colOff>
      <xdr:row>26</xdr:row>
      <xdr:rowOff>228600</xdr:rowOff>
    </xdr:to>
    <xdr:sp>
      <xdr:nvSpPr>
        <xdr:cNvPr id="2" name="Line 5"/>
        <xdr:cNvSpPr>
          <a:spLocks/>
        </xdr:cNvSpPr>
      </xdr:nvSpPr>
      <xdr:spPr>
        <a:xfrm flipH="1">
          <a:off x="5076825" y="4962525"/>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5</xdr:row>
      <xdr:rowOff>114300</xdr:rowOff>
    </xdr:from>
    <xdr:to>
      <xdr:col>4</xdr:col>
      <xdr:colOff>419100</xdr:colOff>
      <xdr:row>13</xdr:row>
      <xdr:rowOff>180975</xdr:rowOff>
    </xdr:to>
    <xdr:sp>
      <xdr:nvSpPr>
        <xdr:cNvPr id="1" name="TextBox 4"/>
        <xdr:cNvSpPr txBox="1">
          <a:spLocks noChangeArrowheads="1"/>
        </xdr:cNvSpPr>
      </xdr:nvSpPr>
      <xdr:spPr>
        <a:xfrm>
          <a:off x="7038975" y="819150"/>
          <a:ext cx="1704975" cy="14382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Assumptions: 
1. Bog plants are 100% lost from the area where peat is removed for construction. 
2. Bog plants are 100% lost from the area where peat is drained. 
3. The recovery of carbon accumulation by plants on restoration of land is as given in inputs</a:t>
          </a:r>
        </a:p>
      </xdr:txBody>
    </xdr:sp>
    <xdr:clientData/>
  </xdr:twoCellAnchor>
  <xdr:twoCellAnchor>
    <xdr:from>
      <xdr:col>2</xdr:col>
      <xdr:colOff>2362200</xdr:colOff>
      <xdr:row>8</xdr:row>
      <xdr:rowOff>66675</xdr:rowOff>
    </xdr:from>
    <xdr:to>
      <xdr:col>3</xdr:col>
      <xdr:colOff>704850</xdr:colOff>
      <xdr:row>8</xdr:row>
      <xdr:rowOff>66675</xdr:rowOff>
    </xdr:to>
    <xdr:sp>
      <xdr:nvSpPr>
        <xdr:cNvPr id="2" name="Line 5"/>
        <xdr:cNvSpPr>
          <a:spLocks/>
        </xdr:cNvSpPr>
      </xdr:nvSpPr>
      <xdr:spPr>
        <a:xfrm flipH="1">
          <a:off x="6305550" y="12954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8</xdr:row>
      <xdr:rowOff>0</xdr:rowOff>
    </xdr:from>
    <xdr:to>
      <xdr:col>6</xdr:col>
      <xdr:colOff>533400</xdr:colOff>
      <xdr:row>10</xdr:row>
      <xdr:rowOff>76200</xdr:rowOff>
    </xdr:to>
    <xdr:sp>
      <xdr:nvSpPr>
        <xdr:cNvPr id="1" name="TextBox 2"/>
        <xdr:cNvSpPr txBox="1">
          <a:spLocks noChangeArrowheads="1"/>
        </xdr:cNvSpPr>
      </xdr:nvSpPr>
      <xdr:spPr>
        <a:xfrm>
          <a:off x="5734050" y="1295400"/>
          <a:ext cx="2247900" cy="4572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If peat is not restored, 100% of the carbon contained in the removed peat is lost as CO</a:t>
          </a:r>
          <a:r>
            <a:rPr lang="en-US" cap="none" sz="800" b="0" i="0" u="none" baseline="-25000">
              <a:latin typeface="Arial"/>
              <a:ea typeface="Arial"/>
              <a:cs typeface="Arial"/>
            </a:rPr>
            <a:t>2</a:t>
          </a:r>
        </a:p>
      </xdr:txBody>
    </xdr:sp>
    <xdr:clientData/>
  </xdr:twoCellAnchor>
  <xdr:twoCellAnchor>
    <xdr:from>
      <xdr:col>3</xdr:col>
      <xdr:colOff>0</xdr:colOff>
      <xdr:row>8</xdr:row>
      <xdr:rowOff>114300</xdr:rowOff>
    </xdr:from>
    <xdr:to>
      <xdr:col>3</xdr:col>
      <xdr:colOff>447675</xdr:colOff>
      <xdr:row>8</xdr:row>
      <xdr:rowOff>114300</xdr:rowOff>
    </xdr:to>
    <xdr:sp>
      <xdr:nvSpPr>
        <xdr:cNvPr id="2" name="Line 3"/>
        <xdr:cNvSpPr>
          <a:spLocks/>
        </xdr:cNvSpPr>
      </xdr:nvSpPr>
      <xdr:spPr>
        <a:xfrm flipH="1">
          <a:off x="5257800" y="140970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26</xdr:row>
      <xdr:rowOff>47625</xdr:rowOff>
    </xdr:from>
    <xdr:to>
      <xdr:col>6</xdr:col>
      <xdr:colOff>723900</xdr:colOff>
      <xdr:row>35</xdr:row>
      <xdr:rowOff>123825</xdr:rowOff>
    </xdr:to>
    <xdr:sp>
      <xdr:nvSpPr>
        <xdr:cNvPr id="1" name="TextBox 22"/>
        <xdr:cNvSpPr txBox="1">
          <a:spLocks noChangeArrowheads="1"/>
        </xdr:cNvSpPr>
      </xdr:nvSpPr>
      <xdr:spPr>
        <a:xfrm>
          <a:off x="7858125" y="4191000"/>
          <a:ext cx="1733550" cy="15906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a:t>
          </a:r>
          <a:r>
            <a:rPr lang="en-US" cap="none" sz="800" b="0" i="0" u="sng" baseline="0">
              <a:latin typeface="Arial"/>
              <a:ea typeface="Arial"/>
              <a:cs typeface="Arial"/>
            </a:rPr>
            <a:t>Hardstanding and turbine foundations</a:t>
          </a:r>
          <a:r>
            <a:rPr lang="en-US" cap="none" sz="800" b="0" i="0" u="none" baseline="0">
              <a:latin typeface="Arial"/>
              <a:ea typeface="Arial"/>
              <a:cs typeface="Arial"/>
            </a:rPr>
            <a:t>. These are counted together to avoid double counting of edges. If hardstanding is sited away from turbine foundations, additional drainage should be included.
Hardstanding and turbine foundation area itself not counted in drained area because C losses have already been accounted for in removed peat</a:t>
          </a:r>
        </a:p>
      </xdr:txBody>
    </xdr:sp>
    <xdr:clientData/>
  </xdr:twoCellAnchor>
  <xdr:twoCellAnchor>
    <xdr:from>
      <xdr:col>2</xdr:col>
      <xdr:colOff>2219325</xdr:colOff>
      <xdr:row>31</xdr:row>
      <xdr:rowOff>104775</xdr:rowOff>
    </xdr:from>
    <xdr:to>
      <xdr:col>5</xdr:col>
      <xdr:colOff>0</xdr:colOff>
      <xdr:row>31</xdr:row>
      <xdr:rowOff>104775</xdr:rowOff>
    </xdr:to>
    <xdr:sp>
      <xdr:nvSpPr>
        <xdr:cNvPr id="2" name="Line 23"/>
        <xdr:cNvSpPr>
          <a:spLocks/>
        </xdr:cNvSpPr>
      </xdr:nvSpPr>
      <xdr:spPr>
        <a:xfrm flipH="1" flipV="1">
          <a:off x="7124700" y="5095875"/>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48</xdr:row>
      <xdr:rowOff>85725</xdr:rowOff>
    </xdr:from>
    <xdr:to>
      <xdr:col>6</xdr:col>
      <xdr:colOff>714375</xdr:colOff>
      <xdr:row>53</xdr:row>
      <xdr:rowOff>123825</xdr:rowOff>
    </xdr:to>
    <xdr:sp>
      <xdr:nvSpPr>
        <xdr:cNvPr id="3" name="TextBox 24"/>
        <xdr:cNvSpPr txBox="1">
          <a:spLocks noChangeArrowheads="1"/>
        </xdr:cNvSpPr>
      </xdr:nvSpPr>
      <xdr:spPr>
        <a:xfrm>
          <a:off x="7848600" y="7943850"/>
          <a:ext cx="1733550" cy="9144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Peat under rock-filled road is compacted and looses water, but remains anaerobic. Therefore, the area of the rock-filled road iteself is not included in the drained area.</a:t>
          </a:r>
        </a:p>
      </xdr:txBody>
    </xdr:sp>
    <xdr:clientData/>
  </xdr:twoCellAnchor>
  <xdr:twoCellAnchor>
    <xdr:from>
      <xdr:col>2</xdr:col>
      <xdr:colOff>2171700</xdr:colOff>
      <xdr:row>50</xdr:row>
      <xdr:rowOff>133350</xdr:rowOff>
    </xdr:from>
    <xdr:to>
      <xdr:col>4</xdr:col>
      <xdr:colOff>28575</xdr:colOff>
      <xdr:row>50</xdr:row>
      <xdr:rowOff>133350</xdr:rowOff>
    </xdr:to>
    <xdr:sp>
      <xdr:nvSpPr>
        <xdr:cNvPr id="4" name="Line 25"/>
        <xdr:cNvSpPr>
          <a:spLocks/>
        </xdr:cNvSpPr>
      </xdr:nvSpPr>
      <xdr:spPr>
        <a:xfrm flipH="1">
          <a:off x="7077075" y="8315325"/>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42</xdr:row>
      <xdr:rowOff>0</xdr:rowOff>
    </xdr:from>
    <xdr:to>
      <xdr:col>6</xdr:col>
      <xdr:colOff>723900</xdr:colOff>
      <xdr:row>45</xdr:row>
      <xdr:rowOff>85725</xdr:rowOff>
    </xdr:to>
    <xdr:sp>
      <xdr:nvSpPr>
        <xdr:cNvPr id="5" name="TextBox 26"/>
        <xdr:cNvSpPr txBox="1">
          <a:spLocks noChangeArrowheads="1"/>
        </xdr:cNvSpPr>
      </xdr:nvSpPr>
      <xdr:spPr>
        <a:xfrm>
          <a:off x="7848600" y="6838950"/>
          <a:ext cx="1743075" cy="590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Road area itself not counted in drained because C losses have already been accounted for in removed peat</a:t>
          </a:r>
        </a:p>
      </xdr:txBody>
    </xdr:sp>
    <xdr:clientData/>
  </xdr:twoCellAnchor>
  <xdr:twoCellAnchor>
    <xdr:from>
      <xdr:col>2</xdr:col>
      <xdr:colOff>2200275</xdr:colOff>
      <xdr:row>44</xdr:row>
      <xdr:rowOff>114300</xdr:rowOff>
    </xdr:from>
    <xdr:to>
      <xdr:col>4</xdr:col>
      <xdr:colOff>57150</xdr:colOff>
      <xdr:row>44</xdr:row>
      <xdr:rowOff>114300</xdr:rowOff>
    </xdr:to>
    <xdr:sp>
      <xdr:nvSpPr>
        <xdr:cNvPr id="6" name="Line 27"/>
        <xdr:cNvSpPr>
          <a:spLocks/>
        </xdr:cNvSpPr>
      </xdr:nvSpPr>
      <xdr:spPr>
        <a:xfrm flipH="1">
          <a:off x="7105650" y="72771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36</xdr:row>
      <xdr:rowOff>19050</xdr:rowOff>
    </xdr:from>
    <xdr:to>
      <xdr:col>6</xdr:col>
      <xdr:colOff>723900</xdr:colOff>
      <xdr:row>38</xdr:row>
      <xdr:rowOff>161925</xdr:rowOff>
    </xdr:to>
    <xdr:sp>
      <xdr:nvSpPr>
        <xdr:cNvPr id="7" name="TextBox 28"/>
        <xdr:cNvSpPr txBox="1">
          <a:spLocks noChangeArrowheads="1"/>
        </xdr:cNvSpPr>
      </xdr:nvSpPr>
      <xdr:spPr>
        <a:xfrm>
          <a:off x="7858125" y="5838825"/>
          <a:ext cx="1733550" cy="4667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Peat under floating road is also drained when drains are installed</a:t>
          </a:r>
        </a:p>
      </xdr:txBody>
    </xdr:sp>
    <xdr:clientData/>
  </xdr:twoCellAnchor>
  <xdr:twoCellAnchor>
    <xdr:from>
      <xdr:col>2</xdr:col>
      <xdr:colOff>2257425</xdr:colOff>
      <xdr:row>37</xdr:row>
      <xdr:rowOff>57150</xdr:rowOff>
    </xdr:from>
    <xdr:to>
      <xdr:col>5</xdr:col>
      <xdr:colOff>9525</xdr:colOff>
      <xdr:row>38</xdr:row>
      <xdr:rowOff>133350</xdr:rowOff>
    </xdr:to>
    <xdr:sp>
      <xdr:nvSpPr>
        <xdr:cNvPr id="8" name="Line 29"/>
        <xdr:cNvSpPr>
          <a:spLocks/>
        </xdr:cNvSpPr>
      </xdr:nvSpPr>
      <xdr:spPr>
        <a:xfrm flipH="1">
          <a:off x="7162800" y="6038850"/>
          <a:ext cx="70485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14</xdr:row>
      <xdr:rowOff>76200</xdr:rowOff>
    </xdr:from>
    <xdr:to>
      <xdr:col>6</xdr:col>
      <xdr:colOff>685800</xdr:colOff>
      <xdr:row>18</xdr:row>
      <xdr:rowOff>9525</xdr:rowOff>
    </xdr:to>
    <xdr:sp>
      <xdr:nvSpPr>
        <xdr:cNvPr id="9" name="TextBox 30"/>
        <xdr:cNvSpPr txBox="1">
          <a:spLocks noChangeArrowheads="1"/>
        </xdr:cNvSpPr>
      </xdr:nvSpPr>
      <xdr:spPr>
        <a:xfrm>
          <a:off x="7858125" y="2238375"/>
          <a:ext cx="1695450" cy="6191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Note: Borrow pit area itself not counted in drained area because C losses have already been accounted for in removed peat</a:t>
          </a:r>
        </a:p>
      </xdr:txBody>
    </xdr:sp>
    <xdr:clientData/>
  </xdr:twoCellAnchor>
  <xdr:twoCellAnchor>
    <xdr:from>
      <xdr:col>2</xdr:col>
      <xdr:colOff>1581150</xdr:colOff>
      <xdr:row>16</xdr:row>
      <xdr:rowOff>66675</xdr:rowOff>
    </xdr:from>
    <xdr:to>
      <xdr:col>4</xdr:col>
      <xdr:colOff>66675</xdr:colOff>
      <xdr:row>16</xdr:row>
      <xdr:rowOff>66675</xdr:rowOff>
    </xdr:to>
    <xdr:sp>
      <xdr:nvSpPr>
        <xdr:cNvPr id="10" name="Line 34"/>
        <xdr:cNvSpPr>
          <a:spLocks/>
        </xdr:cNvSpPr>
      </xdr:nvSpPr>
      <xdr:spPr>
        <a:xfrm flipH="1">
          <a:off x="6486525" y="2552700"/>
          <a:ext cx="1352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18</xdr:row>
      <xdr:rowOff>57150</xdr:rowOff>
    </xdr:from>
    <xdr:to>
      <xdr:col>6</xdr:col>
      <xdr:colOff>676275</xdr:colOff>
      <xdr:row>21</xdr:row>
      <xdr:rowOff>38100</xdr:rowOff>
    </xdr:to>
    <xdr:sp>
      <xdr:nvSpPr>
        <xdr:cNvPr id="11" name="TextBox 35"/>
        <xdr:cNvSpPr txBox="1">
          <a:spLocks noChangeArrowheads="1"/>
        </xdr:cNvSpPr>
      </xdr:nvSpPr>
      <xdr:spPr>
        <a:xfrm>
          <a:off x="7858125" y="2905125"/>
          <a:ext cx="1685925" cy="4667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Depth peat affected due of drainage is equal to the depth of peat removed</a:t>
          </a:r>
        </a:p>
      </xdr:txBody>
    </xdr:sp>
    <xdr:clientData/>
  </xdr:twoCellAnchor>
  <xdr:twoCellAnchor>
    <xdr:from>
      <xdr:col>2</xdr:col>
      <xdr:colOff>1562100</xdr:colOff>
      <xdr:row>17</xdr:row>
      <xdr:rowOff>95250</xdr:rowOff>
    </xdr:from>
    <xdr:to>
      <xdr:col>5</xdr:col>
      <xdr:colOff>9525</xdr:colOff>
      <xdr:row>19</xdr:row>
      <xdr:rowOff>114300</xdr:rowOff>
    </xdr:to>
    <xdr:sp>
      <xdr:nvSpPr>
        <xdr:cNvPr id="12" name="Line 36"/>
        <xdr:cNvSpPr>
          <a:spLocks/>
        </xdr:cNvSpPr>
      </xdr:nvSpPr>
      <xdr:spPr>
        <a:xfrm flipH="1" flipV="1">
          <a:off x="6467475" y="2762250"/>
          <a:ext cx="1400175"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39</xdr:row>
      <xdr:rowOff>28575</xdr:rowOff>
    </xdr:from>
    <xdr:to>
      <xdr:col>6</xdr:col>
      <xdr:colOff>723900</xdr:colOff>
      <xdr:row>41</xdr:row>
      <xdr:rowOff>123825</xdr:rowOff>
    </xdr:to>
    <xdr:sp>
      <xdr:nvSpPr>
        <xdr:cNvPr id="13" name="TextBox 37"/>
        <xdr:cNvSpPr txBox="1">
          <a:spLocks noChangeArrowheads="1"/>
        </xdr:cNvSpPr>
      </xdr:nvSpPr>
      <xdr:spPr>
        <a:xfrm>
          <a:off x="7858125" y="6353175"/>
          <a:ext cx="1733550" cy="447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Depth peat affected due of drainage is equal to the depth of peat removed</a:t>
          </a:r>
        </a:p>
      </xdr:txBody>
    </xdr:sp>
    <xdr:clientData/>
  </xdr:twoCellAnchor>
  <xdr:twoCellAnchor>
    <xdr:from>
      <xdr:col>2</xdr:col>
      <xdr:colOff>2228850</xdr:colOff>
      <xdr:row>39</xdr:row>
      <xdr:rowOff>95250</xdr:rowOff>
    </xdr:from>
    <xdr:to>
      <xdr:col>5</xdr:col>
      <xdr:colOff>0</xdr:colOff>
      <xdr:row>39</xdr:row>
      <xdr:rowOff>95250</xdr:rowOff>
    </xdr:to>
    <xdr:sp>
      <xdr:nvSpPr>
        <xdr:cNvPr id="14" name="Line 39"/>
        <xdr:cNvSpPr>
          <a:spLocks/>
        </xdr:cNvSpPr>
      </xdr:nvSpPr>
      <xdr:spPr>
        <a:xfrm flipH="1">
          <a:off x="7134225" y="641985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45</xdr:row>
      <xdr:rowOff>114300</xdr:rowOff>
    </xdr:from>
    <xdr:to>
      <xdr:col>6</xdr:col>
      <xdr:colOff>714375</xdr:colOff>
      <xdr:row>48</xdr:row>
      <xdr:rowOff>47625</xdr:rowOff>
    </xdr:to>
    <xdr:sp>
      <xdr:nvSpPr>
        <xdr:cNvPr id="15" name="TextBox 40"/>
        <xdr:cNvSpPr txBox="1">
          <a:spLocks noChangeArrowheads="1"/>
        </xdr:cNvSpPr>
      </xdr:nvSpPr>
      <xdr:spPr>
        <a:xfrm>
          <a:off x="7848600" y="7458075"/>
          <a:ext cx="1733550" cy="4476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Depth peat affected due of drainage is equal to the depth of peat removed</a:t>
          </a:r>
        </a:p>
      </xdr:txBody>
    </xdr:sp>
    <xdr:clientData/>
  </xdr:twoCellAnchor>
  <xdr:twoCellAnchor>
    <xdr:from>
      <xdr:col>2</xdr:col>
      <xdr:colOff>2209800</xdr:colOff>
      <xdr:row>45</xdr:row>
      <xdr:rowOff>104775</xdr:rowOff>
    </xdr:from>
    <xdr:to>
      <xdr:col>4</xdr:col>
      <xdr:colOff>76200</xdr:colOff>
      <xdr:row>46</xdr:row>
      <xdr:rowOff>142875</xdr:rowOff>
    </xdr:to>
    <xdr:sp>
      <xdr:nvSpPr>
        <xdr:cNvPr id="16" name="Line 41"/>
        <xdr:cNvSpPr>
          <a:spLocks/>
        </xdr:cNvSpPr>
      </xdr:nvSpPr>
      <xdr:spPr>
        <a:xfrm flipH="1" flipV="1">
          <a:off x="7115175" y="7448550"/>
          <a:ext cx="73342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53</xdr:row>
      <xdr:rowOff>152400</xdr:rowOff>
    </xdr:from>
    <xdr:to>
      <xdr:col>6</xdr:col>
      <xdr:colOff>714375</xdr:colOff>
      <xdr:row>56</xdr:row>
      <xdr:rowOff>0</xdr:rowOff>
    </xdr:to>
    <xdr:sp>
      <xdr:nvSpPr>
        <xdr:cNvPr id="17" name="TextBox 42"/>
        <xdr:cNvSpPr txBox="1">
          <a:spLocks noChangeArrowheads="1"/>
        </xdr:cNvSpPr>
      </xdr:nvSpPr>
      <xdr:spPr>
        <a:xfrm>
          <a:off x="7848600" y="8886825"/>
          <a:ext cx="1733550" cy="3524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Assumption: Depth peat affected due of drainage is equal to the depth of peat removed</a:t>
          </a:r>
        </a:p>
      </xdr:txBody>
    </xdr:sp>
    <xdr:clientData/>
  </xdr:twoCellAnchor>
  <xdr:twoCellAnchor>
    <xdr:from>
      <xdr:col>2</xdr:col>
      <xdr:colOff>2181225</xdr:colOff>
      <xdr:row>51</xdr:row>
      <xdr:rowOff>133350</xdr:rowOff>
    </xdr:from>
    <xdr:to>
      <xdr:col>4</xdr:col>
      <xdr:colOff>76200</xdr:colOff>
      <xdr:row>55</xdr:row>
      <xdr:rowOff>19050</xdr:rowOff>
    </xdr:to>
    <xdr:sp>
      <xdr:nvSpPr>
        <xdr:cNvPr id="18" name="Line 43"/>
        <xdr:cNvSpPr>
          <a:spLocks/>
        </xdr:cNvSpPr>
      </xdr:nvSpPr>
      <xdr:spPr>
        <a:xfrm flipH="1" flipV="1">
          <a:off x="7086600" y="8496300"/>
          <a:ext cx="76200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cotland.gov.uk/Publications/2006/12/21162303/1"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B1:M31"/>
  <sheetViews>
    <sheetView workbookViewId="0" topLeftCell="A1">
      <selection activeCell="J20" sqref="J20"/>
    </sheetView>
  </sheetViews>
  <sheetFormatPr defaultColWidth="9.140625" defaultRowHeight="15" customHeight="1"/>
  <cols>
    <col min="1" max="1" width="3.140625" style="23" customWidth="1"/>
    <col min="2" max="2" width="12.7109375" style="23" customWidth="1"/>
    <col min="3" max="3" width="7.57421875" style="23" customWidth="1"/>
    <col min="4" max="4" width="9.140625" style="23" customWidth="1"/>
    <col min="5" max="5" width="10.57421875" style="23" customWidth="1"/>
    <col min="6" max="6" width="14.7109375" style="23" customWidth="1"/>
    <col min="7" max="8" width="9.140625" style="23" customWidth="1"/>
    <col min="9" max="9" width="14.140625" style="23" customWidth="1"/>
    <col min="10" max="11" width="9.140625" style="23" customWidth="1"/>
    <col min="12" max="12" width="7.140625" style="23" customWidth="1"/>
    <col min="13" max="13" width="13.28125" style="23" customWidth="1"/>
    <col min="14" max="16384" width="9.140625" style="23" customWidth="1"/>
  </cols>
  <sheetData>
    <row r="1" spans="2:13" ht="22.5" customHeight="1">
      <c r="B1" s="534" t="s">
        <v>409</v>
      </c>
      <c r="C1" s="535"/>
      <c r="D1" s="535"/>
      <c r="E1" s="535"/>
      <c r="F1" s="535"/>
      <c r="G1" s="535"/>
      <c r="H1" s="535"/>
      <c r="I1" s="535"/>
      <c r="J1" s="535"/>
      <c r="K1" s="535"/>
      <c r="L1" s="535"/>
      <c r="M1" s="536"/>
    </row>
    <row r="2" spans="2:13" ht="19.5" customHeight="1">
      <c r="B2" s="537" t="s">
        <v>408</v>
      </c>
      <c r="C2" s="538"/>
      <c r="D2" s="538"/>
      <c r="E2" s="538"/>
      <c r="F2" s="538"/>
      <c r="G2" s="538"/>
      <c r="H2" s="538"/>
      <c r="I2" s="538"/>
      <c r="J2" s="538"/>
      <c r="K2" s="538"/>
      <c r="L2" s="538"/>
      <c r="M2" s="539"/>
    </row>
    <row r="3" spans="2:13" ht="3" customHeight="1">
      <c r="B3" s="12"/>
      <c r="C3" s="13"/>
      <c r="D3" s="13"/>
      <c r="E3" s="13"/>
      <c r="F3" s="13"/>
      <c r="G3" s="13"/>
      <c r="H3" s="13"/>
      <c r="I3" s="13"/>
      <c r="J3" s="13"/>
      <c r="K3" s="13"/>
      <c r="L3" s="13"/>
      <c r="M3" s="14"/>
    </row>
    <row r="4" spans="2:13" ht="15" customHeight="1">
      <c r="B4" s="19" t="s">
        <v>15</v>
      </c>
      <c r="C4" s="16"/>
      <c r="D4" s="16"/>
      <c r="E4" s="16"/>
      <c r="F4" s="16"/>
      <c r="G4" s="16"/>
      <c r="H4" s="16"/>
      <c r="I4" s="16"/>
      <c r="J4" s="16"/>
      <c r="K4" s="16"/>
      <c r="L4" s="16"/>
      <c r="M4" s="17"/>
    </row>
    <row r="5" spans="2:13" ht="15" customHeight="1">
      <c r="B5" s="15" t="s">
        <v>22</v>
      </c>
      <c r="C5" s="532" t="s">
        <v>178</v>
      </c>
      <c r="D5" s="532"/>
      <c r="E5" s="532"/>
      <c r="F5" s="532"/>
      <c r="G5" s="532"/>
      <c r="H5" s="532"/>
      <c r="I5" s="532"/>
      <c r="J5" s="532"/>
      <c r="K5" s="532"/>
      <c r="L5" s="532"/>
      <c r="M5" s="533"/>
    </row>
    <row r="6" spans="2:13" ht="15" customHeight="1">
      <c r="B6" s="20"/>
      <c r="C6" s="16"/>
      <c r="D6" s="16" t="s">
        <v>17</v>
      </c>
      <c r="E6" s="16"/>
      <c r="F6" s="16"/>
      <c r="G6" s="16"/>
      <c r="H6" s="16"/>
      <c r="I6" s="16"/>
      <c r="J6" s="16"/>
      <c r="K6" s="16"/>
      <c r="L6" s="16"/>
      <c r="M6" s="17"/>
    </row>
    <row r="7" spans="2:13" ht="15" customHeight="1">
      <c r="B7" s="20"/>
      <c r="C7" s="16"/>
      <c r="D7" s="16" t="s">
        <v>28</v>
      </c>
      <c r="E7" s="16"/>
      <c r="F7" s="16"/>
      <c r="G7" s="16"/>
      <c r="H7" s="16"/>
      <c r="I7" s="16"/>
      <c r="J7" s="16"/>
      <c r="K7" s="16"/>
      <c r="L7" s="16"/>
      <c r="M7" s="17"/>
    </row>
    <row r="8" spans="2:13" ht="15" customHeight="1">
      <c r="B8" s="20"/>
      <c r="C8" s="16"/>
      <c r="D8" s="16" t="s">
        <v>36</v>
      </c>
      <c r="E8" s="16"/>
      <c r="F8" s="16"/>
      <c r="G8" s="16"/>
      <c r="H8" s="16"/>
      <c r="I8" s="16"/>
      <c r="J8" s="16"/>
      <c r="K8" s="16"/>
      <c r="L8" s="16"/>
      <c r="M8" s="17"/>
    </row>
    <row r="9" spans="2:13" ht="15" customHeight="1">
      <c r="B9" s="20"/>
      <c r="C9" s="16"/>
      <c r="D9" s="16" t="s">
        <v>34</v>
      </c>
      <c r="E9" s="16"/>
      <c r="F9" s="16"/>
      <c r="G9" s="16"/>
      <c r="H9" s="16"/>
      <c r="I9" s="16"/>
      <c r="J9" s="16"/>
      <c r="K9" s="16"/>
      <c r="L9" s="16"/>
      <c r="M9" s="17"/>
    </row>
    <row r="10" spans="2:13" ht="15" customHeight="1">
      <c r="B10" s="20"/>
      <c r="C10" s="16"/>
      <c r="D10" s="16" t="s">
        <v>35</v>
      </c>
      <c r="E10" s="16"/>
      <c r="F10" s="16"/>
      <c r="G10" s="16"/>
      <c r="H10" s="16"/>
      <c r="I10" s="16"/>
      <c r="J10" s="16"/>
      <c r="K10" s="16"/>
      <c r="L10" s="16"/>
      <c r="M10" s="17"/>
    </row>
    <row r="11" spans="2:13" ht="15" customHeight="1">
      <c r="B11" s="20"/>
      <c r="C11" s="16"/>
      <c r="D11" s="16" t="s">
        <v>37</v>
      </c>
      <c r="E11" s="16"/>
      <c r="F11" s="16"/>
      <c r="G11" s="16"/>
      <c r="H11" s="16"/>
      <c r="I11" s="16"/>
      <c r="J11" s="16"/>
      <c r="K11" s="16"/>
      <c r="L11" s="16"/>
      <c r="M11" s="17"/>
    </row>
    <row r="12" spans="2:13" ht="15" customHeight="1">
      <c r="B12" s="20"/>
      <c r="C12" s="16"/>
      <c r="D12" s="16" t="s">
        <v>38</v>
      </c>
      <c r="E12" s="16"/>
      <c r="F12" s="16"/>
      <c r="G12" s="16"/>
      <c r="H12" s="16"/>
      <c r="I12" s="16"/>
      <c r="J12" s="16"/>
      <c r="K12" s="16"/>
      <c r="L12" s="16"/>
      <c r="M12" s="17"/>
    </row>
    <row r="13" spans="2:13" ht="15" customHeight="1">
      <c r="B13" s="20"/>
      <c r="C13" s="16"/>
      <c r="D13" s="16"/>
      <c r="E13" s="16" t="s">
        <v>402</v>
      </c>
      <c r="F13" s="16"/>
      <c r="G13" s="16"/>
      <c r="H13" s="16"/>
      <c r="I13" s="16"/>
      <c r="J13" s="16"/>
      <c r="K13" s="16"/>
      <c r="L13" s="16"/>
      <c r="M13" s="17"/>
    </row>
    <row r="14" spans="2:13" ht="15" customHeight="1">
      <c r="B14" s="20"/>
      <c r="C14" s="16"/>
      <c r="D14" s="16"/>
      <c r="E14" s="16" t="s">
        <v>39</v>
      </c>
      <c r="F14" s="16"/>
      <c r="G14" s="16"/>
      <c r="H14" s="16"/>
      <c r="I14" s="16"/>
      <c r="J14" s="16"/>
      <c r="K14" s="16"/>
      <c r="L14" s="16"/>
      <c r="M14" s="17"/>
    </row>
    <row r="15" spans="2:13" ht="15" customHeight="1">
      <c r="B15" s="20"/>
      <c r="C15" s="16"/>
      <c r="D15" s="16"/>
      <c r="E15" s="16" t="s">
        <v>403</v>
      </c>
      <c r="F15" s="16"/>
      <c r="G15" s="16"/>
      <c r="H15" s="16"/>
      <c r="I15" s="16"/>
      <c r="J15" s="16"/>
      <c r="K15" s="16"/>
      <c r="L15" s="16"/>
      <c r="M15" s="17"/>
    </row>
    <row r="16" spans="2:13" ht="15" customHeight="1">
      <c r="B16" s="20"/>
      <c r="C16" s="16"/>
      <c r="D16" s="16"/>
      <c r="E16" s="16" t="s">
        <v>40</v>
      </c>
      <c r="F16" s="16"/>
      <c r="G16" s="16"/>
      <c r="H16" s="16"/>
      <c r="I16" s="16"/>
      <c r="J16" s="16"/>
      <c r="K16" s="16"/>
      <c r="L16" s="16"/>
      <c r="M16" s="17"/>
    </row>
    <row r="17" spans="2:13" ht="15" customHeight="1">
      <c r="B17" s="20"/>
      <c r="C17" s="16"/>
      <c r="D17" s="16"/>
      <c r="E17" s="16" t="s">
        <v>177</v>
      </c>
      <c r="F17" s="16"/>
      <c r="G17" s="16"/>
      <c r="H17" s="16"/>
      <c r="I17" s="16"/>
      <c r="J17" s="16"/>
      <c r="K17" s="16"/>
      <c r="L17" s="16"/>
      <c r="M17" s="17"/>
    </row>
    <row r="18" spans="2:13" ht="15" customHeight="1">
      <c r="B18" s="20"/>
      <c r="C18" s="16"/>
      <c r="D18" s="16" t="s">
        <v>393</v>
      </c>
      <c r="E18" s="16"/>
      <c r="F18" s="16"/>
      <c r="G18" s="16"/>
      <c r="H18" s="16"/>
      <c r="I18" s="16"/>
      <c r="J18" s="16"/>
      <c r="K18" s="16"/>
      <c r="L18" s="16"/>
      <c r="M18" s="17"/>
    </row>
    <row r="19" spans="2:13" ht="15" customHeight="1">
      <c r="B19" s="20"/>
      <c r="C19" s="16"/>
      <c r="D19" s="16" t="s">
        <v>343</v>
      </c>
      <c r="E19" s="16"/>
      <c r="F19" s="16"/>
      <c r="G19" s="16"/>
      <c r="H19" s="16"/>
      <c r="I19" s="16"/>
      <c r="J19" s="16"/>
      <c r="K19" s="16"/>
      <c r="L19" s="16"/>
      <c r="M19" s="17"/>
    </row>
    <row r="20" spans="2:13" ht="15">
      <c r="B20" s="20"/>
      <c r="C20" s="16"/>
      <c r="D20" s="16" t="s">
        <v>321</v>
      </c>
      <c r="E20" s="16"/>
      <c r="F20" s="16"/>
      <c r="G20" s="16"/>
      <c r="H20" s="22"/>
      <c r="I20" s="16"/>
      <c r="J20" s="528"/>
      <c r="K20" s="16" t="s">
        <v>410</v>
      </c>
      <c r="L20" s="16"/>
      <c r="M20" s="17"/>
    </row>
    <row r="21" spans="2:13" ht="2.25" customHeight="1">
      <c r="B21" s="20"/>
      <c r="C21" s="16"/>
      <c r="D21" s="16"/>
      <c r="E21" s="16"/>
      <c r="F21" s="16"/>
      <c r="G21" s="16"/>
      <c r="H21" s="22"/>
      <c r="I21" s="16"/>
      <c r="J21" s="16"/>
      <c r="K21" s="16"/>
      <c r="L21" s="16"/>
      <c r="M21" s="17"/>
    </row>
    <row r="22" spans="2:13" ht="15" customHeight="1">
      <c r="B22" s="15" t="s">
        <v>23</v>
      </c>
      <c r="C22" s="16" t="s">
        <v>32</v>
      </c>
      <c r="D22" s="16"/>
      <c r="E22" s="16"/>
      <c r="F22" s="16"/>
      <c r="G22" s="22"/>
      <c r="H22" s="22"/>
      <c r="I22" s="16" t="s">
        <v>30</v>
      </c>
      <c r="J22" s="515"/>
      <c r="K22" s="16"/>
      <c r="L22" s="16"/>
      <c r="M22" s="17"/>
    </row>
    <row r="23" spans="2:13" ht="3" customHeight="1">
      <c r="B23" s="15"/>
      <c r="C23" s="16"/>
      <c r="D23" s="16"/>
      <c r="E23" s="16"/>
      <c r="F23" s="16"/>
      <c r="G23" s="16"/>
      <c r="H23" s="16"/>
      <c r="I23" s="16"/>
      <c r="J23" s="16"/>
      <c r="K23" s="16"/>
      <c r="L23" s="16"/>
      <c r="M23" s="17"/>
    </row>
    <row r="24" spans="2:13" ht="15" customHeight="1">
      <c r="B24" s="15" t="s">
        <v>24</v>
      </c>
      <c r="C24" s="16" t="s">
        <v>33</v>
      </c>
      <c r="D24" s="16"/>
      <c r="E24" s="16"/>
      <c r="F24" s="16"/>
      <c r="G24" s="16"/>
      <c r="H24" s="22"/>
      <c r="I24" s="16" t="s">
        <v>31</v>
      </c>
      <c r="J24" s="516"/>
      <c r="K24" s="16"/>
      <c r="L24" s="16"/>
      <c r="M24" s="17"/>
    </row>
    <row r="25" spans="2:13" ht="3" customHeight="1">
      <c r="B25" s="15"/>
      <c r="C25" s="16"/>
      <c r="D25" s="16"/>
      <c r="E25" s="16"/>
      <c r="F25" s="16"/>
      <c r="G25" s="16"/>
      <c r="H25" s="16"/>
      <c r="I25" s="16"/>
      <c r="J25" s="16"/>
      <c r="K25" s="16"/>
      <c r="L25" s="16"/>
      <c r="M25" s="17"/>
    </row>
    <row r="26" spans="2:13" ht="15" customHeight="1">
      <c r="B26" s="15" t="s">
        <v>25</v>
      </c>
      <c r="C26" s="16" t="s">
        <v>219</v>
      </c>
      <c r="D26" s="16"/>
      <c r="E26" s="16"/>
      <c r="F26" s="16"/>
      <c r="G26" s="16"/>
      <c r="H26" s="16"/>
      <c r="I26" s="16"/>
      <c r="J26" s="16"/>
      <c r="K26" s="16"/>
      <c r="L26" s="16"/>
      <c r="M26" s="17"/>
    </row>
    <row r="27" spans="2:13" ht="3" customHeight="1">
      <c r="B27" s="15"/>
      <c r="C27" s="16"/>
      <c r="D27" s="16"/>
      <c r="E27" s="16"/>
      <c r="F27" s="16"/>
      <c r="G27" s="16"/>
      <c r="H27" s="16"/>
      <c r="I27" s="16"/>
      <c r="J27" s="16"/>
      <c r="K27" s="16"/>
      <c r="L27" s="16"/>
      <c r="M27" s="17"/>
    </row>
    <row r="28" spans="2:13" ht="15" customHeight="1">
      <c r="B28" s="15" t="s">
        <v>29</v>
      </c>
      <c r="C28" s="16" t="s">
        <v>179</v>
      </c>
      <c r="D28" s="16"/>
      <c r="E28" s="16"/>
      <c r="F28" s="16"/>
      <c r="G28" s="16"/>
      <c r="H28" s="210"/>
      <c r="I28" s="16"/>
      <c r="J28" s="16"/>
      <c r="K28" s="16"/>
      <c r="L28" s="16"/>
      <c r="M28" s="17"/>
    </row>
    <row r="29" spans="2:13" ht="3" customHeight="1">
      <c r="B29" s="15"/>
      <c r="C29" s="22"/>
      <c r="D29" s="16"/>
      <c r="E29" s="16"/>
      <c r="F29" s="16"/>
      <c r="G29" s="16"/>
      <c r="H29" s="16"/>
      <c r="I29" s="16"/>
      <c r="J29" s="16"/>
      <c r="K29" s="16"/>
      <c r="L29" s="16"/>
      <c r="M29" s="17"/>
    </row>
    <row r="30" spans="2:13" ht="15" customHeight="1">
      <c r="B30" s="15"/>
      <c r="C30" s="16" t="s">
        <v>180</v>
      </c>
      <c r="D30" s="16"/>
      <c r="E30" s="16"/>
      <c r="F30" s="16"/>
      <c r="G30" s="211"/>
      <c r="H30" s="20"/>
      <c r="I30" s="16"/>
      <c r="J30" s="16"/>
      <c r="K30" s="16"/>
      <c r="L30" s="16"/>
      <c r="M30" s="17"/>
    </row>
    <row r="31" spans="2:13" ht="12.75" customHeight="1">
      <c r="B31" s="18"/>
      <c r="C31" s="21"/>
      <c r="D31" s="21"/>
      <c r="E31" s="21"/>
      <c r="F31" s="21"/>
      <c r="G31" s="21"/>
      <c r="H31" s="21"/>
      <c r="I31" s="21"/>
      <c r="J31" s="21"/>
      <c r="K31" s="21"/>
      <c r="L31" s="21"/>
      <c r="M31" s="517">
        <v>39618</v>
      </c>
    </row>
  </sheetData>
  <mergeCells count="3">
    <mergeCell ref="C5:M5"/>
    <mergeCell ref="B1:M1"/>
    <mergeCell ref="B2:M2"/>
  </mergeCells>
  <printOptions/>
  <pageMargins left="0.75" right="0.75" top="1" bottom="1" header="0.5" footer="0.5"/>
  <pageSetup orientation="portrait" paperSize="9" r:id="rId1"/>
</worksheet>
</file>

<file path=xl/worksheets/sheet10.xml><?xml version="1.0" encoding="utf-8"?>
<worksheet xmlns="http://schemas.openxmlformats.org/spreadsheetml/2006/main" xmlns:r="http://schemas.openxmlformats.org/officeDocument/2006/relationships">
  <dimension ref="B2:G31"/>
  <sheetViews>
    <sheetView workbookViewId="0" topLeftCell="A1">
      <selection activeCell="C9" sqref="C9"/>
    </sheetView>
  </sheetViews>
  <sheetFormatPr defaultColWidth="9.140625" defaultRowHeight="12.75"/>
  <cols>
    <col min="1" max="1" width="2.57421875" style="24" customWidth="1"/>
    <col min="2" max="2" width="55.28125" style="24" bestFit="1" customWidth="1"/>
    <col min="3" max="3" width="21.00390625" style="25" customWidth="1"/>
    <col min="4" max="4" width="14.57421875" style="24" customWidth="1"/>
    <col min="5" max="16384" width="9.140625" style="24" customWidth="1"/>
  </cols>
  <sheetData>
    <row r="1" ht="3.75" customHeight="1"/>
    <row r="2" spans="2:7" ht="12.75">
      <c r="B2" s="581" t="s">
        <v>265</v>
      </c>
      <c r="C2" s="582"/>
      <c r="D2" s="582"/>
      <c r="E2" s="582"/>
      <c r="F2" s="180"/>
      <c r="G2" s="181"/>
    </row>
    <row r="3" spans="2:7" ht="18.75" customHeight="1">
      <c r="B3" s="578"/>
      <c r="C3" s="579"/>
      <c r="D3" s="579"/>
      <c r="E3" s="579"/>
      <c r="F3" s="182"/>
      <c r="G3" s="183"/>
    </row>
    <row r="4" spans="2:7" ht="12.75">
      <c r="B4" s="583"/>
      <c r="C4" s="584"/>
      <c r="D4" s="584"/>
      <c r="E4" s="584"/>
      <c r="F4" s="180"/>
      <c r="G4" s="181"/>
    </row>
    <row r="6" spans="2:3" ht="14.25">
      <c r="B6" s="9" t="s">
        <v>258</v>
      </c>
      <c r="C6" s="4"/>
    </row>
    <row r="7" spans="2:3" ht="12.75">
      <c r="B7" s="34" t="str">
        <f>'Input data'!B25</f>
        <v>C Content of dry peat (% by weight)</v>
      </c>
      <c r="C7" s="6">
        <f>'Input data'!C25</f>
        <v>55</v>
      </c>
    </row>
    <row r="8" spans="2:3" ht="14.25">
      <c r="B8" s="34" t="s">
        <v>378</v>
      </c>
      <c r="C8" s="366">
        <f>'Input data'!C28</f>
        <v>0.6</v>
      </c>
    </row>
    <row r="9" spans="2:3" ht="15.75">
      <c r="B9" s="34" t="s">
        <v>153</v>
      </c>
      <c r="C9" s="6">
        <v>100</v>
      </c>
    </row>
    <row r="10" spans="2:3" ht="14.25">
      <c r="B10" s="94" t="s">
        <v>125</v>
      </c>
      <c r="C10" s="6">
        <f>'5a. Volume of peat removed'!C53</f>
        <v>1558035.814</v>
      </c>
    </row>
    <row r="11" spans="2:3" ht="15.75">
      <c r="B11" s="367" t="s">
        <v>157</v>
      </c>
      <c r="C11" s="368">
        <f>(C9/100)*(3.667/100)*C7*C8*C10</f>
        <v>1885394.71887954</v>
      </c>
    </row>
    <row r="12" spans="2:3" ht="12.75">
      <c r="B12" s="369"/>
      <c r="C12" s="370"/>
    </row>
    <row r="13" spans="2:3" ht="14.25">
      <c r="B13" s="9" t="s">
        <v>259</v>
      </c>
      <c r="C13" s="371"/>
    </row>
    <row r="14" spans="2:3" ht="12.75">
      <c r="B14" s="53" t="s">
        <v>260</v>
      </c>
      <c r="C14" s="372">
        <f>'5a. Volume of peat removed'!C55/10000</f>
        <v>163.004254</v>
      </c>
    </row>
    <row r="15" spans="2:3" ht="15.75">
      <c r="B15" s="53" t="s">
        <v>261</v>
      </c>
      <c r="C15" s="372">
        <f>'5d. CO2 loss from drained peat'!C43/'5d. CO2 loss from drained peat'!C7</f>
        <v>-85.74022439004557</v>
      </c>
    </row>
    <row r="16" spans="2:3" ht="15.75">
      <c r="B16" s="367" t="s">
        <v>249</v>
      </c>
      <c r="C16" s="368">
        <f>C14*C15</f>
        <v>-13976.021314491984</v>
      </c>
    </row>
    <row r="17" spans="2:3" ht="13.5" thickBot="1">
      <c r="B17" s="369"/>
      <c r="C17" s="370"/>
    </row>
    <row r="18" spans="2:3" ht="14.25">
      <c r="B18" s="373" t="s">
        <v>262</v>
      </c>
      <c r="C18" s="360"/>
    </row>
    <row r="19" spans="2:3" ht="15.75">
      <c r="B19" s="76" t="s">
        <v>157</v>
      </c>
      <c r="C19" s="77">
        <f>C11</f>
        <v>1885394.71887954</v>
      </c>
    </row>
    <row r="20" spans="2:3" ht="15.75">
      <c r="B20" s="76" t="s">
        <v>249</v>
      </c>
      <c r="C20" s="77">
        <f>C16</f>
        <v>-13976.021314491984</v>
      </c>
    </row>
    <row r="21" spans="2:3" ht="15" thickBot="1">
      <c r="B21" s="209" t="s">
        <v>250</v>
      </c>
      <c r="C21" s="361">
        <f>C11-C16</f>
        <v>1899370.740194032</v>
      </c>
    </row>
    <row r="22" ht="13.5" thickBot="1"/>
    <row r="23" spans="2:3" ht="28.5">
      <c r="B23" s="137" t="s">
        <v>363</v>
      </c>
      <c r="C23" s="136" t="s">
        <v>66</v>
      </c>
    </row>
    <row r="24" spans="2:3" ht="12.75">
      <c r="B24" s="76" t="s">
        <v>77</v>
      </c>
      <c r="C24" s="135">
        <f>'1. Windfarm CO2 emission saving'!C20</f>
        <v>1830664.8</v>
      </c>
    </row>
    <row r="25" spans="2:3" ht="12.75">
      <c r="B25" s="76" t="s">
        <v>78</v>
      </c>
      <c r="C25" s="135">
        <f>'1. Windfarm CO2 emission saving'!C21</f>
        <v>915332.4</v>
      </c>
    </row>
    <row r="26" spans="2:3" ht="13.5" thickBot="1">
      <c r="B26" s="42" t="s">
        <v>128</v>
      </c>
      <c r="C26" s="134">
        <f>'1. Windfarm CO2 emission saving'!C22</f>
        <v>1292108.76</v>
      </c>
    </row>
    <row r="27" ht="13.5" thickBot="1">
      <c r="C27" s="24"/>
    </row>
    <row r="28" spans="2:4" ht="38.25">
      <c r="B28" s="129" t="s">
        <v>374</v>
      </c>
      <c r="C28" s="130" t="s">
        <v>215</v>
      </c>
      <c r="D28" s="130" t="s">
        <v>213</v>
      </c>
    </row>
    <row r="29" spans="2:4" ht="12.75">
      <c r="B29" s="76" t="s">
        <v>69</v>
      </c>
      <c r="C29" s="140">
        <f>C11/C24</f>
        <v>1.029896198845108</v>
      </c>
      <c r="D29" s="251">
        <f>C29*12</f>
        <v>12.358754386141296</v>
      </c>
    </row>
    <row r="30" spans="2:4" ht="12.75">
      <c r="B30" s="76" t="s">
        <v>70</v>
      </c>
      <c r="C30" s="306">
        <f>C11/C25</f>
        <v>2.059792397690216</v>
      </c>
      <c r="D30" s="307">
        <f>C30*12</f>
        <v>24.717508772282592</v>
      </c>
    </row>
    <row r="31" spans="2:4" ht="13.5" thickBot="1">
      <c r="B31" s="305" t="s">
        <v>129</v>
      </c>
      <c r="C31" s="141">
        <f>C11/C26</f>
        <v>1.4591610066009768</v>
      </c>
      <c r="D31" s="252">
        <f>C31*12</f>
        <v>17.509932079211723</v>
      </c>
    </row>
  </sheetData>
  <mergeCells count="1">
    <mergeCell ref="B2:E4"/>
  </mergeCells>
  <printOptions/>
  <pageMargins left="0.75" right="0.75" top="1" bottom="1" header="0.5" footer="0.5"/>
  <pageSetup orientation="portrait" paperSize="9" r:id="rId2"/>
  <drawing r:id="rId1"/>
</worksheet>
</file>

<file path=xl/worksheets/sheet11.xml><?xml version="1.0" encoding="utf-8"?>
<worksheet xmlns="http://schemas.openxmlformats.org/spreadsheetml/2006/main" xmlns:r="http://schemas.openxmlformats.org/officeDocument/2006/relationships">
  <dimension ref="B2:M63"/>
  <sheetViews>
    <sheetView workbookViewId="0" topLeftCell="A34">
      <selection activeCell="C9" sqref="C9"/>
    </sheetView>
  </sheetViews>
  <sheetFormatPr defaultColWidth="9.140625" defaultRowHeight="12.75"/>
  <cols>
    <col min="1" max="1" width="2.140625" style="56" customWidth="1"/>
    <col min="2" max="2" width="71.421875" style="56" bestFit="1" customWidth="1"/>
    <col min="3" max="3" width="41.421875" style="103" customWidth="1"/>
    <col min="4" max="4" width="1.57421875" style="56" customWidth="1"/>
    <col min="5" max="5" width="1.28515625" style="56" customWidth="1"/>
    <col min="6" max="6" width="15.140625" style="56" customWidth="1"/>
    <col min="7" max="7" width="17.140625" style="56" customWidth="1"/>
    <col min="8" max="8" width="13.00390625" style="56" customWidth="1"/>
    <col min="9" max="9" width="9.140625" style="56" customWidth="1"/>
    <col min="10" max="10" width="7.00390625" style="56" customWidth="1"/>
    <col min="11" max="11" width="9.140625" style="56" customWidth="1"/>
    <col min="12" max="12" width="6.8515625" style="56" customWidth="1"/>
    <col min="13" max="16384" width="9.140625" style="56" customWidth="1"/>
  </cols>
  <sheetData>
    <row r="1" ht="4.5" customHeight="1"/>
    <row r="2" spans="2:13" ht="12.75" customHeight="1">
      <c r="B2" s="581" t="s">
        <v>310</v>
      </c>
      <c r="C2" s="585"/>
      <c r="E2" s="60"/>
      <c r="F2" s="383"/>
      <c r="G2" s="60"/>
      <c r="H2" s="60"/>
      <c r="I2" s="60"/>
      <c r="J2" s="60"/>
      <c r="K2" s="60"/>
      <c r="L2" s="60"/>
      <c r="M2" s="60"/>
    </row>
    <row r="3" spans="2:13" ht="12.75">
      <c r="B3" s="586"/>
      <c r="C3" s="587"/>
      <c r="E3" s="60"/>
      <c r="F3" s="384"/>
      <c r="G3" s="384"/>
      <c r="H3" s="384"/>
      <c r="I3" s="60"/>
      <c r="J3" s="60"/>
      <c r="K3" s="60"/>
      <c r="L3" s="60"/>
      <c r="M3" s="60"/>
    </row>
    <row r="4" spans="2:13" ht="12.75">
      <c r="B4" s="586"/>
      <c r="C4" s="587"/>
      <c r="E4" s="60"/>
      <c r="F4" s="287"/>
      <c r="G4" s="287"/>
      <c r="H4" s="385"/>
      <c r="I4" s="60"/>
      <c r="J4" s="60"/>
      <c r="K4" s="60"/>
      <c r="L4" s="60"/>
      <c r="M4" s="60"/>
    </row>
    <row r="5" spans="2:13" ht="12.75">
      <c r="B5" s="588"/>
      <c r="C5" s="589"/>
      <c r="E5" s="60"/>
      <c r="F5" s="287"/>
      <c r="G5" s="287"/>
      <c r="H5" s="385"/>
      <c r="I5" s="60"/>
      <c r="J5" s="60"/>
      <c r="K5" s="60"/>
      <c r="L5" s="60"/>
      <c r="M5" s="60"/>
    </row>
    <row r="6" spans="5:13" ht="12.75">
      <c r="E6" s="60"/>
      <c r="F6" s="287"/>
      <c r="G6" s="287"/>
      <c r="H6" s="385"/>
      <c r="I6" s="60"/>
      <c r="J6" s="60"/>
      <c r="K6" s="60"/>
      <c r="L6" s="60"/>
      <c r="M6" s="60"/>
    </row>
    <row r="7" spans="5:13" ht="12.75">
      <c r="E7" s="60"/>
      <c r="F7" s="287"/>
      <c r="G7" s="287"/>
      <c r="H7" s="385"/>
      <c r="I7" s="60"/>
      <c r="J7" s="60"/>
      <c r="K7" s="60"/>
      <c r="L7" s="60"/>
      <c r="M7" s="60"/>
    </row>
    <row r="8" spans="2:13" ht="12.75">
      <c r="B8" s="97" t="s">
        <v>113</v>
      </c>
      <c r="C8" s="100"/>
      <c r="E8" s="60"/>
      <c r="F8" s="287"/>
      <c r="G8" s="287"/>
      <c r="H8" s="385"/>
      <c r="I8" s="60"/>
      <c r="J8" s="60"/>
      <c r="K8" s="60"/>
      <c r="L8" s="60"/>
      <c r="M8" s="60"/>
    </row>
    <row r="9" spans="2:13" ht="12.75">
      <c r="B9" s="98" t="str">
        <f>'Input data'!B26</f>
        <v>Average extent of drainage around drainage features at site (m)</v>
      </c>
      <c r="C9" s="83">
        <f>'Input data'!C26</f>
        <v>200</v>
      </c>
      <c r="E9" s="60"/>
      <c r="F9" s="287"/>
      <c r="G9" s="287"/>
      <c r="H9" s="385"/>
      <c r="I9" s="60"/>
      <c r="J9" s="60"/>
      <c r="K9" s="60"/>
      <c r="L9" s="60"/>
      <c r="M9" s="60"/>
    </row>
    <row r="10" spans="2:13" ht="12.75">
      <c r="B10" s="60"/>
      <c r="C10" s="104"/>
      <c r="E10" s="60"/>
      <c r="F10" s="60"/>
      <c r="G10" s="60"/>
      <c r="H10" s="60"/>
      <c r="I10" s="60"/>
      <c r="J10" s="60"/>
      <c r="K10" s="60"/>
      <c r="L10" s="60"/>
      <c r="M10" s="60"/>
    </row>
    <row r="11" spans="2:13" ht="12.75">
      <c r="B11" s="101" t="s">
        <v>187</v>
      </c>
      <c r="C11" s="99"/>
      <c r="E11" s="60"/>
      <c r="F11" s="60"/>
      <c r="G11" s="60"/>
      <c r="H11" s="60"/>
      <c r="I11" s="60"/>
      <c r="J11" s="60"/>
      <c r="K11" s="60"/>
      <c r="L11" s="60"/>
      <c r="M11" s="60"/>
    </row>
    <row r="12" spans="2:13" ht="12.75">
      <c r="B12" s="59" t="str">
        <f>'Input data'!B41</f>
        <v>Number of borrow pits</v>
      </c>
      <c r="C12" s="47">
        <f>'Input data'!C41</f>
        <v>14</v>
      </c>
      <c r="E12" s="60"/>
      <c r="F12" s="60"/>
      <c r="G12" s="60"/>
      <c r="H12" s="60"/>
      <c r="I12" s="60"/>
      <c r="J12" s="60"/>
      <c r="K12" s="60"/>
      <c r="L12" s="60"/>
      <c r="M12" s="60"/>
    </row>
    <row r="13" spans="2:13" ht="12.75">
      <c r="B13" s="59" t="str">
        <f>'Input data'!B42</f>
        <v>Average length of pits (m)</v>
      </c>
      <c r="C13" s="47">
        <f>'Input data'!C42</f>
        <v>97</v>
      </c>
      <c r="E13" s="60"/>
      <c r="F13" s="383"/>
      <c r="G13" s="383"/>
      <c r="H13" s="383"/>
      <c r="I13" s="60"/>
      <c r="J13" s="60"/>
      <c r="K13" s="60"/>
      <c r="L13" s="60"/>
      <c r="M13" s="60"/>
    </row>
    <row r="14" spans="2:13" ht="12.75">
      <c r="B14" s="102" t="str">
        <f>'Input data'!B43</f>
        <v>Average width of pits (m)</v>
      </c>
      <c r="C14" s="47">
        <f>'Input data'!C43</f>
        <v>126</v>
      </c>
      <c r="E14" s="60"/>
      <c r="F14" s="386"/>
      <c r="G14" s="386"/>
      <c r="H14" s="386"/>
      <c r="I14" s="60"/>
      <c r="J14" s="60"/>
      <c r="K14" s="60"/>
      <c r="L14" s="60"/>
      <c r="M14" s="60"/>
    </row>
    <row r="15" spans="2:13" ht="12.75">
      <c r="B15" s="59" t="str">
        <f>'Input data'!B44</f>
        <v>Average depth of peat removed from pit (m)</v>
      </c>
      <c r="C15" s="145">
        <f>'Input data'!C44</f>
        <v>1.6</v>
      </c>
      <c r="E15" s="60"/>
      <c r="F15" s="383"/>
      <c r="G15" s="383"/>
      <c r="H15" s="383"/>
      <c r="I15" s="60"/>
      <c r="J15" s="60"/>
      <c r="K15" s="60"/>
      <c r="L15" s="60"/>
      <c r="M15" s="60"/>
    </row>
    <row r="16" spans="2:13" ht="12.75">
      <c r="B16" s="59" t="s">
        <v>183</v>
      </c>
      <c r="C16" s="47">
        <f>(C9+C13+C9)*(C9+C14+C9)-(C13*C14)</f>
        <v>249200</v>
      </c>
      <c r="E16" s="60"/>
      <c r="F16" s="383"/>
      <c r="G16" s="383"/>
      <c r="H16" s="383"/>
      <c r="I16" s="60"/>
      <c r="J16" s="60"/>
      <c r="K16" s="60"/>
      <c r="L16" s="60"/>
      <c r="M16" s="60"/>
    </row>
    <row r="17" spans="2:13" ht="14.25">
      <c r="B17" s="212" t="s">
        <v>184</v>
      </c>
      <c r="C17" s="46">
        <f>C12*C16</f>
        <v>3488800</v>
      </c>
      <c r="E17" s="60"/>
      <c r="F17" s="383"/>
      <c r="G17" s="383"/>
      <c r="H17" s="383"/>
      <c r="I17" s="60"/>
      <c r="J17" s="60"/>
      <c r="K17" s="60"/>
      <c r="L17" s="60"/>
      <c r="M17" s="60"/>
    </row>
    <row r="18" spans="2:13" ht="14.25">
      <c r="B18" s="213" t="s">
        <v>185</v>
      </c>
      <c r="C18" s="72">
        <f>C17*C15</f>
        <v>5582080</v>
      </c>
      <c r="E18" s="60"/>
      <c r="F18" s="383"/>
      <c r="G18" s="383"/>
      <c r="H18" s="383"/>
      <c r="I18" s="60"/>
      <c r="J18" s="60"/>
      <c r="K18" s="60"/>
      <c r="L18" s="60"/>
      <c r="M18" s="60"/>
    </row>
    <row r="19" spans="2:13" ht="12.75">
      <c r="B19" s="60"/>
      <c r="C19" s="104"/>
      <c r="E19" s="60"/>
      <c r="F19" s="383"/>
      <c r="G19" s="383"/>
      <c r="H19" s="383"/>
      <c r="I19" s="60"/>
      <c r="J19" s="60"/>
      <c r="K19" s="60"/>
      <c r="L19" s="60"/>
      <c r="M19" s="60"/>
    </row>
    <row r="20" spans="2:13" ht="12.75">
      <c r="B20" s="105" t="s">
        <v>186</v>
      </c>
      <c r="C20" s="99"/>
      <c r="E20" s="60"/>
      <c r="F20" s="383"/>
      <c r="G20" s="383"/>
      <c r="H20" s="383"/>
      <c r="I20" s="60"/>
      <c r="J20" s="60"/>
      <c r="K20" s="60"/>
      <c r="L20" s="60"/>
      <c r="M20" s="60"/>
    </row>
    <row r="21" spans="2:13" ht="12.75">
      <c r="B21" s="111" t="str">
        <f>'Input data'!B11</f>
        <v>No. of turbines</v>
      </c>
      <c r="C21" s="46">
        <f>'Input data'!C11</f>
        <v>150</v>
      </c>
      <c r="E21" s="60"/>
      <c r="F21" s="383"/>
      <c r="G21" s="383"/>
      <c r="H21" s="383"/>
      <c r="I21" s="60"/>
      <c r="J21" s="60"/>
      <c r="K21" s="60"/>
      <c r="L21" s="60"/>
      <c r="M21" s="60"/>
    </row>
    <row r="22" spans="2:13" ht="12.75">
      <c r="B22" s="69" t="str">
        <f>'Input data'!B46</f>
        <v>Average length of turbine foundations (m)</v>
      </c>
      <c r="C22" s="47">
        <f>'Input data'!C46</f>
        <v>25</v>
      </c>
      <c r="E22" s="60"/>
      <c r="F22" s="383"/>
      <c r="G22" s="383"/>
      <c r="H22" s="383"/>
      <c r="I22" s="60"/>
      <c r="J22" s="60"/>
      <c r="K22" s="60"/>
      <c r="L22" s="60"/>
      <c r="M22" s="60"/>
    </row>
    <row r="23" spans="2:13" ht="12.75">
      <c r="B23" s="69" t="str">
        <f>'Input data'!B47</f>
        <v>Average width of turbine foundations(m)</v>
      </c>
      <c r="C23" s="47">
        <f>'Input data'!C47</f>
        <v>25</v>
      </c>
      <c r="E23" s="60"/>
      <c r="F23" s="383"/>
      <c r="G23" s="383"/>
      <c r="H23" s="383"/>
      <c r="I23" s="60"/>
      <c r="J23" s="60"/>
      <c r="K23" s="60"/>
      <c r="L23" s="60"/>
      <c r="M23" s="60"/>
    </row>
    <row r="24" spans="2:13" ht="12.75">
      <c r="B24" s="69" t="str">
        <f>'Input data'!B48</f>
        <v>Average depth of peat removed from turbine foundations(m)</v>
      </c>
      <c r="C24" s="47">
        <f>'Input data'!C48</f>
        <v>1.6</v>
      </c>
      <c r="E24" s="60"/>
      <c r="F24" s="383"/>
      <c r="G24" s="383"/>
      <c r="H24" s="383"/>
      <c r="I24" s="60"/>
      <c r="J24" s="60"/>
      <c r="K24" s="60"/>
      <c r="L24" s="60"/>
      <c r="M24" s="60"/>
    </row>
    <row r="25" spans="2:13" ht="12.75">
      <c r="B25" s="69" t="str">
        <f>'Input data'!B50</f>
        <v>Average length of hard-standing (m)</v>
      </c>
      <c r="C25" s="47">
        <f>'Input data'!C50</f>
        <v>43.06</v>
      </c>
      <c r="E25" s="60"/>
      <c r="F25" s="383"/>
      <c r="G25" s="383"/>
      <c r="H25" s="383"/>
      <c r="I25" s="60"/>
      <c r="J25" s="60"/>
      <c r="K25" s="60"/>
      <c r="L25" s="60"/>
      <c r="M25" s="60"/>
    </row>
    <row r="26" spans="2:13" ht="12.75">
      <c r="B26" s="69" t="str">
        <f>'Input data'!B51</f>
        <v>Average width of hard-standing (m)</v>
      </c>
      <c r="C26" s="47">
        <f>'Input data'!C51</f>
        <v>43.06</v>
      </c>
      <c r="E26" s="60"/>
      <c r="F26" s="60"/>
      <c r="G26" s="60"/>
      <c r="H26" s="60"/>
      <c r="I26" s="60"/>
      <c r="J26" s="60"/>
      <c r="K26" s="60"/>
      <c r="L26" s="60"/>
      <c r="M26" s="60"/>
    </row>
    <row r="27" spans="2:3" ht="12.75">
      <c r="B27" s="69" t="str">
        <f>'Input data'!B52</f>
        <v>Average depth of peat removed from hard-standing (m)</v>
      </c>
      <c r="C27" s="145">
        <f>'Input data'!C52</f>
        <v>1.6</v>
      </c>
    </row>
    <row r="28" spans="2:3" ht="12.75">
      <c r="B28" s="106" t="s">
        <v>181</v>
      </c>
      <c r="C28" s="46">
        <f>C22+C25</f>
        <v>68.06</v>
      </c>
    </row>
    <row r="29" spans="2:3" ht="12.75">
      <c r="B29" s="69" t="s">
        <v>182</v>
      </c>
      <c r="C29" s="47">
        <f>C23+C26</f>
        <v>68.06</v>
      </c>
    </row>
    <row r="30" spans="2:3" ht="14.25">
      <c r="B30" s="69" t="s">
        <v>190</v>
      </c>
      <c r="C30" s="47">
        <f>(C9+C28+C9)*(C9+C29+C9)-(C28*C29)</f>
        <v>214448</v>
      </c>
    </row>
    <row r="31" spans="2:3" ht="14.25">
      <c r="B31" s="106" t="s">
        <v>191</v>
      </c>
      <c r="C31" s="46">
        <f>C30*C21</f>
        <v>32167200</v>
      </c>
    </row>
    <row r="32" spans="2:3" ht="14.25">
      <c r="B32" s="71" t="s">
        <v>192</v>
      </c>
      <c r="C32" s="72">
        <f>C31*C27</f>
        <v>51467520</v>
      </c>
    </row>
    <row r="33" spans="2:3" ht="12.75">
      <c r="B33" s="60"/>
      <c r="C33" s="107"/>
    </row>
    <row r="34" spans="2:3" ht="12.75">
      <c r="B34" s="105" t="s">
        <v>188</v>
      </c>
      <c r="C34" s="99"/>
    </row>
    <row r="35" spans="2:3" ht="12.75">
      <c r="B35" s="110" t="s">
        <v>101</v>
      </c>
      <c r="C35" s="108"/>
    </row>
    <row r="36" spans="2:3" ht="12.75">
      <c r="B36" s="69" t="str">
        <f>'Input data'!B59</f>
        <v>Length of floating road that is drained (m)</v>
      </c>
      <c r="C36" s="47">
        <f>'Input data'!C59</f>
        <v>86010</v>
      </c>
    </row>
    <row r="37" spans="2:3" ht="12.75">
      <c r="B37" s="69" t="str">
        <f>'Input data'!B57</f>
        <v>Floating road width (m)</v>
      </c>
      <c r="C37" s="145">
        <f>'Input data'!C57</f>
        <v>9.25</v>
      </c>
    </row>
    <row r="38" spans="2:3" ht="12.75">
      <c r="B38" s="69" t="str">
        <f>'Input data'!B60</f>
        <v>Average depth of drains associated with floating roads (m)</v>
      </c>
      <c r="C38" s="108">
        <f>'Input data'!C60</f>
        <v>1</v>
      </c>
    </row>
    <row r="39" spans="2:3" ht="14.25">
      <c r="B39" s="106" t="s">
        <v>193</v>
      </c>
      <c r="C39" s="46">
        <f>C36*(C9+C37+C9)</f>
        <v>35199592.5</v>
      </c>
    </row>
    <row r="40" spans="2:3" ht="15" thickBot="1">
      <c r="B40" s="215" t="s">
        <v>194</v>
      </c>
      <c r="C40" s="216">
        <f>C39*C38</f>
        <v>35199592.5</v>
      </c>
    </row>
    <row r="41" spans="2:3" ht="12.75">
      <c r="B41" s="214" t="s">
        <v>114</v>
      </c>
      <c r="C41" s="82"/>
    </row>
    <row r="42" spans="2:3" ht="12.75">
      <c r="B42" s="69" t="str">
        <f>'Input data'!B61</f>
        <v>Length of access track that is excavated road (m)</v>
      </c>
      <c r="C42" s="82">
        <f>'Input data'!C61</f>
        <v>31510</v>
      </c>
    </row>
    <row r="43" spans="2:3" ht="12.75">
      <c r="B43" s="69" t="str">
        <f>'Input data'!B62</f>
        <v>Excavated road width (m)</v>
      </c>
      <c r="C43" s="82">
        <f>'Input data'!C62</f>
        <v>9.25</v>
      </c>
    </row>
    <row r="44" spans="2:3" ht="12.75">
      <c r="B44" s="69" t="str">
        <f>'Input data'!B63</f>
        <v>Excavated road depth (m)</v>
      </c>
      <c r="C44" s="144">
        <f>'Input data'!$C$63</f>
        <v>1</v>
      </c>
    </row>
    <row r="45" spans="2:3" ht="14.25">
      <c r="B45" s="106" t="s">
        <v>195</v>
      </c>
      <c r="C45" s="46">
        <f>C42*(C9+C9)</f>
        <v>12604000</v>
      </c>
    </row>
    <row r="46" spans="2:3" ht="15" thickBot="1">
      <c r="B46" s="215" t="s">
        <v>196</v>
      </c>
      <c r="C46" s="216">
        <f>C45*C44</f>
        <v>12604000</v>
      </c>
    </row>
    <row r="47" spans="2:3" ht="12.75">
      <c r="B47" s="214" t="s">
        <v>103</v>
      </c>
      <c r="C47" s="82"/>
    </row>
    <row r="48" spans="2:3" ht="12.75">
      <c r="B48" s="69" t="str">
        <f>'Input data'!B67</f>
        <v>Length of rock-filled road that is drained (m)</v>
      </c>
      <c r="C48" s="47">
        <f>'Input data'!C67</f>
        <v>0</v>
      </c>
    </row>
    <row r="49" spans="2:3" ht="12.75">
      <c r="B49" s="69" t="str">
        <f>'Input data'!B65</f>
        <v>Rock-filled road width (m)</v>
      </c>
      <c r="C49" s="47">
        <f>'Input data'!C65</f>
        <v>0</v>
      </c>
    </row>
    <row r="50" spans="2:3" ht="12.75">
      <c r="B50" s="69" t="str">
        <f>'Input data'!B68</f>
        <v>Average depth of drains associated with rock-filled roads (m)</v>
      </c>
      <c r="C50" s="145">
        <f>'Input data'!C66</f>
        <v>0</v>
      </c>
    </row>
    <row r="51" spans="2:3" ht="14.25">
      <c r="B51" s="106" t="s">
        <v>197</v>
      </c>
      <c r="C51" s="46">
        <f>'Input data'!C68</f>
        <v>0</v>
      </c>
    </row>
    <row r="52" spans="2:3" ht="15" thickBot="1">
      <c r="B52" s="215" t="s">
        <v>198</v>
      </c>
      <c r="C52" s="216">
        <f>C51*C50</f>
        <v>0</v>
      </c>
    </row>
    <row r="53" spans="2:3" ht="14.25">
      <c r="B53" s="69" t="s">
        <v>189</v>
      </c>
      <c r="C53" s="47">
        <f>C39+C45+C51</f>
        <v>47803592.5</v>
      </c>
    </row>
    <row r="54" spans="2:3" ht="14.25">
      <c r="B54" s="71" t="s">
        <v>199</v>
      </c>
      <c r="C54" s="72">
        <f>C40+C46+C52</f>
        <v>47803592.5</v>
      </c>
    </row>
    <row r="56" spans="2:3" ht="12.75">
      <c r="B56" s="105" t="s">
        <v>383</v>
      </c>
      <c r="C56" s="99"/>
    </row>
    <row r="57" spans="2:3" ht="25.5">
      <c r="B57" s="70" t="str">
        <f>'Input data'!B70</f>
        <v>Length of any cable trench that does not follow access tracks and is lined with a permeable medium (eg. sand) (m)</v>
      </c>
      <c r="C57" s="47">
        <f>'Input data'!C70</f>
        <v>11752</v>
      </c>
    </row>
    <row r="58" spans="2:3" ht="13.5" thickBot="1">
      <c r="B58" s="69" t="str">
        <f>'Input data'!B71</f>
        <v>Depth of cable trench (m)</v>
      </c>
      <c r="C58" s="145">
        <f>'Input data'!C71</f>
        <v>1</v>
      </c>
    </row>
    <row r="59" spans="2:3" ht="14.25">
      <c r="B59" s="484" t="s">
        <v>384</v>
      </c>
      <c r="C59" s="485">
        <f>C57*C9*C9</f>
        <v>470080000</v>
      </c>
    </row>
    <row r="60" spans="2:3" ht="14.25">
      <c r="B60" s="71" t="s">
        <v>385</v>
      </c>
      <c r="C60" s="410">
        <f>C59*C58</f>
        <v>470080000</v>
      </c>
    </row>
    <row r="61" ht="13.5" thickBot="1"/>
    <row r="62" spans="2:3" ht="14.25">
      <c r="B62" s="217" t="s">
        <v>222</v>
      </c>
      <c r="C62" s="218">
        <f>C17+C31+C53+C59</f>
        <v>553539592.5</v>
      </c>
    </row>
    <row r="63" spans="2:3" ht="15" thickBot="1">
      <c r="B63" s="465" t="s">
        <v>223</v>
      </c>
      <c r="C63" s="466">
        <f>C18+C32+C54+C60</f>
        <v>574933192.5</v>
      </c>
    </row>
  </sheetData>
  <mergeCells count="1">
    <mergeCell ref="B2:C5"/>
  </mergeCells>
  <printOptions/>
  <pageMargins left="0.75" right="0.75" top="1" bottom="1" header="0.5" footer="0.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B2:J58"/>
  <sheetViews>
    <sheetView workbookViewId="0" topLeftCell="A4">
      <selection activeCell="D29" sqref="D29"/>
    </sheetView>
  </sheetViews>
  <sheetFormatPr defaultColWidth="9.140625" defaultRowHeight="12.75"/>
  <cols>
    <col min="1" max="1" width="3.140625" style="24" customWidth="1"/>
    <col min="2" max="2" width="47.57421875" style="24" bestFit="1" customWidth="1"/>
    <col min="3" max="3" width="19.28125" style="24" customWidth="1"/>
    <col min="4" max="4" width="18.28125" style="24" customWidth="1"/>
    <col min="5" max="7" width="9.140625" style="24" customWidth="1"/>
    <col min="8" max="8" width="33.00390625" style="24" bestFit="1" customWidth="1"/>
    <col min="9" max="16384" width="9.140625" style="24" customWidth="1"/>
  </cols>
  <sheetData>
    <row r="1" ht="6" customHeight="1"/>
    <row r="2" spans="2:7" ht="12.75">
      <c r="B2" s="84"/>
      <c r="C2" s="85"/>
      <c r="D2" s="85"/>
      <c r="E2" s="85"/>
      <c r="F2" s="85"/>
      <c r="G2" s="86"/>
    </row>
    <row r="3" spans="2:7" ht="33.75" customHeight="1">
      <c r="B3" s="578" t="s">
        <v>311</v>
      </c>
      <c r="C3" s="579"/>
      <c r="D3" s="579"/>
      <c r="E3" s="579"/>
      <c r="F3" s="579"/>
      <c r="G3" s="580"/>
    </row>
    <row r="4" spans="2:7" ht="12.75">
      <c r="B4" s="90"/>
      <c r="C4" s="91"/>
      <c r="D4" s="91"/>
      <c r="E4" s="91"/>
      <c r="F4" s="91"/>
      <c r="G4" s="92"/>
    </row>
    <row r="6" spans="2:10" ht="12.75">
      <c r="B6" s="50" t="s">
        <v>139</v>
      </c>
      <c r="C6" s="3"/>
      <c r="F6" s="112"/>
      <c r="G6" s="112"/>
      <c r="H6" s="260"/>
      <c r="I6" s="112"/>
      <c r="J6" s="112"/>
    </row>
    <row r="7" spans="2:10" ht="25.5">
      <c r="B7" s="219" t="s">
        <v>140</v>
      </c>
      <c r="C7" s="114">
        <f>'5c. Volume of peat drained'!C62/10000</f>
        <v>55353.95925</v>
      </c>
      <c r="F7" s="112"/>
      <c r="G7" s="112"/>
      <c r="H7" s="261"/>
      <c r="I7" s="262"/>
      <c r="J7" s="263"/>
    </row>
    <row r="8" spans="2:10" ht="25.5">
      <c r="B8" s="44" t="str">
        <f>'Input data'!B93</f>
        <v>Will the hydrology of the site be restored on decommissioning?</v>
      </c>
      <c r="C8" s="47" t="str">
        <f>IF('Input data'!C93=1,"No","Yes")</f>
        <v>Yes</v>
      </c>
      <c r="F8" s="112"/>
      <c r="G8" s="112"/>
      <c r="H8" s="261"/>
      <c r="I8" s="262"/>
      <c r="J8" s="263"/>
    </row>
    <row r="9" spans="2:10" ht="25.5">
      <c r="B9" s="52" t="str">
        <f>'Input data'!B94</f>
        <v>Will the habitat of the site be restored on decommissioning?</v>
      </c>
      <c r="C9" s="72" t="str">
        <f>IF('Input data'!C94=1,"No","Yes")</f>
        <v>Yes</v>
      </c>
      <c r="F9" s="112"/>
      <c r="G9" s="112"/>
      <c r="H9" s="258"/>
      <c r="I9" s="259"/>
      <c r="J9" s="112"/>
    </row>
    <row r="10" spans="2:10" ht="12.75">
      <c r="B10" s="220"/>
      <c r="C10" s="202"/>
      <c r="F10" s="112"/>
      <c r="G10" s="112"/>
      <c r="H10" s="258"/>
      <c r="I10" s="259"/>
      <c r="J10" s="112"/>
    </row>
    <row r="11" spans="2:10" ht="13.5" thickBot="1">
      <c r="B11" s="264" t="s">
        <v>312</v>
      </c>
      <c r="C11" s="202"/>
      <c r="F11" s="112"/>
      <c r="G11" s="112"/>
      <c r="H11" s="258"/>
      <c r="I11" s="112"/>
      <c r="J11" s="112"/>
    </row>
    <row r="12" spans="2:10" ht="14.25">
      <c r="B12" s="265" t="s">
        <v>224</v>
      </c>
      <c r="C12" s="266">
        <f>'5c. Volume of peat drained'!C63</f>
        <v>574933192.5</v>
      </c>
      <c r="F12" s="112"/>
      <c r="G12" s="112"/>
      <c r="H12" s="112"/>
      <c r="I12" s="112"/>
      <c r="J12" s="112"/>
    </row>
    <row r="13" spans="2:10" ht="12.75">
      <c r="B13" s="225" t="str">
        <f>'Input data'!B25</f>
        <v>C Content of dry peat (% by weight)</v>
      </c>
      <c r="C13" s="267">
        <f>'Input data'!C25</f>
        <v>55</v>
      </c>
      <c r="F13" s="112"/>
      <c r="G13" s="112"/>
      <c r="H13" s="258"/>
      <c r="I13" s="259"/>
      <c r="J13" s="112"/>
    </row>
    <row r="14" spans="2:10" ht="15" thickBot="1">
      <c r="B14" s="10" t="s">
        <v>378</v>
      </c>
      <c r="C14" s="268">
        <f>'Input data'!C28</f>
        <v>0.6</v>
      </c>
      <c r="F14" s="112"/>
      <c r="G14" s="112"/>
      <c r="H14" s="112"/>
      <c r="I14" s="112"/>
      <c r="J14" s="112"/>
    </row>
    <row r="15" spans="2:10" ht="27">
      <c r="B15" s="269" t="s">
        <v>146</v>
      </c>
      <c r="C15" s="270">
        <f>(3.667/100)*C13*C14*C12</f>
        <v>695732405.576175</v>
      </c>
      <c r="H15" s="258"/>
      <c r="I15" s="259"/>
      <c r="J15" s="112"/>
    </row>
    <row r="16" spans="2:10" ht="27.75" thickBot="1">
      <c r="B16" s="160" t="s">
        <v>232</v>
      </c>
      <c r="C16" s="271">
        <f>C15*C43/C30</f>
        <v>-70850681.12608732</v>
      </c>
      <c r="H16" s="258"/>
      <c r="I16" s="259"/>
      <c r="J16" s="112"/>
    </row>
    <row r="17" spans="2:10" ht="12.75">
      <c r="B17" s="220"/>
      <c r="C17" s="202"/>
      <c r="H17" s="112"/>
      <c r="I17" s="112"/>
      <c r="J17" s="112"/>
    </row>
    <row r="18" spans="2:10" ht="12.75">
      <c r="B18" s="264" t="s">
        <v>313</v>
      </c>
      <c r="C18" s="112"/>
      <c r="H18" s="112"/>
      <c r="I18" s="112"/>
      <c r="J18" s="112"/>
    </row>
    <row r="19" spans="2:10" ht="13.5" thickBot="1">
      <c r="B19" s="201" t="s">
        <v>226</v>
      </c>
      <c r="C19" s="171"/>
      <c r="H19" s="112"/>
      <c r="I19" s="112"/>
      <c r="J19" s="112"/>
    </row>
    <row r="20" spans="2:10" ht="14.25">
      <c r="B20" s="161" t="s">
        <v>141</v>
      </c>
      <c r="C20" s="272">
        <v>0</v>
      </c>
      <c r="H20" s="112"/>
      <c r="I20" s="112"/>
      <c r="J20" s="112"/>
    </row>
    <row r="21" spans="2:10" ht="12.75">
      <c r="B21" s="161" t="str">
        <f>'Input data'!B12</f>
        <v>Life time of wind farm (years)</v>
      </c>
      <c r="C21" s="272">
        <f>'Input data'!C12</f>
        <v>25</v>
      </c>
      <c r="H21" s="112"/>
      <c r="I21" s="112"/>
      <c r="J21" s="112"/>
    </row>
    <row r="22" spans="2:10" ht="26.25" thickBot="1">
      <c r="B22" s="163" t="str">
        <f>'Input data'!B31</f>
        <v>Time required for regeneration of bog plants after restoration (years)</v>
      </c>
      <c r="C22" s="273">
        <f>'Input data'!C31</f>
        <v>10</v>
      </c>
      <c r="H22" s="112"/>
      <c r="I22" s="112"/>
      <c r="J22" s="112"/>
    </row>
    <row r="23" spans="2:10" ht="12.75">
      <c r="B23" s="162" t="s">
        <v>227</v>
      </c>
      <c r="C23" s="274"/>
      <c r="H23" s="112"/>
      <c r="I23" s="112"/>
      <c r="J23" s="112"/>
    </row>
    <row r="24" spans="2:10" ht="15.75">
      <c r="B24" s="156" t="s">
        <v>137</v>
      </c>
      <c r="C24" s="275">
        <f>'5e. Emission rates from soils'!C47</f>
        <v>-1.0226382099687175</v>
      </c>
      <c r="H24" s="112"/>
      <c r="I24" s="112"/>
      <c r="J24" s="112"/>
    </row>
    <row r="25" spans="2:10" ht="15.75">
      <c r="B25" s="156" t="s">
        <v>135</v>
      </c>
      <c r="C25" s="275">
        <f>23*16/12</f>
        <v>30.666666666666668</v>
      </c>
      <c r="H25" s="112"/>
      <c r="I25" s="112"/>
      <c r="J25" s="112"/>
    </row>
    <row r="26" spans="2:10" ht="16.5" thickBot="1">
      <c r="B26" s="159" t="s">
        <v>163</v>
      </c>
      <c r="C26" s="276">
        <f>C7*(C21+C22)*C24*C25*(C20/365)</f>
        <v>0</v>
      </c>
      <c r="H26" s="112"/>
      <c r="I26" s="112"/>
      <c r="J26" s="112"/>
    </row>
    <row r="27" spans="2:10" ht="12.75">
      <c r="B27" s="157" t="s">
        <v>228</v>
      </c>
      <c r="C27" s="277"/>
      <c r="H27" s="112"/>
      <c r="I27" s="112"/>
      <c r="J27" s="112"/>
    </row>
    <row r="28" spans="2:10" ht="15.75">
      <c r="B28" s="156" t="s">
        <v>138</v>
      </c>
      <c r="C28" s="278">
        <f>'5e. Emission rates from soils'!C45</f>
        <v>24.05552136304764</v>
      </c>
      <c r="H28" s="112"/>
      <c r="I28" s="112"/>
      <c r="J28" s="112"/>
    </row>
    <row r="29" spans="2:10" ht="16.5" thickBot="1">
      <c r="B29" s="159" t="s">
        <v>161</v>
      </c>
      <c r="C29" s="276">
        <f>C7*(C21+C22)*C28*(365-C20)/365</f>
        <v>46604892.22436752</v>
      </c>
      <c r="H29" s="112"/>
      <c r="I29" s="112"/>
      <c r="J29" s="112"/>
    </row>
    <row r="30" spans="2:10" ht="27.75" thickBot="1">
      <c r="B30" s="160" t="s">
        <v>146</v>
      </c>
      <c r="C30" s="271">
        <f>(C26+C29)</f>
        <v>46604892.22436752</v>
      </c>
      <c r="H30" s="112"/>
      <c r="I30" s="112"/>
      <c r="J30" s="112"/>
    </row>
    <row r="31" spans="3:10" ht="12.75">
      <c r="C31" s="279"/>
      <c r="H31" s="112"/>
      <c r="I31" s="112"/>
      <c r="J31" s="112"/>
    </row>
    <row r="32" spans="2:3" ht="13.5" thickBot="1">
      <c r="B32" s="201" t="s">
        <v>225</v>
      </c>
      <c r="C32" s="280"/>
    </row>
    <row r="33" spans="2:3" ht="14.25">
      <c r="B33" s="156" t="s">
        <v>134</v>
      </c>
      <c r="C33" s="274">
        <f>'5e. Emission rates from soils'!C22</f>
        <v>178</v>
      </c>
    </row>
    <row r="34" spans="2:3" ht="12.75">
      <c r="B34" s="156" t="str">
        <f>'Input data'!B12</f>
        <v>Life time of wind farm (years)</v>
      </c>
      <c r="C34" s="274">
        <f>'Input data'!C12</f>
        <v>25</v>
      </c>
    </row>
    <row r="35" spans="2:3" ht="26.25" thickBot="1">
      <c r="B35" s="163" t="str">
        <f>'Input data'!B31</f>
        <v>Time required for regeneration of bog plants after restoration (years)</v>
      </c>
      <c r="C35" s="273">
        <f>'Input data'!C31</f>
        <v>10</v>
      </c>
    </row>
    <row r="36" spans="2:3" ht="15.75" customHeight="1">
      <c r="B36" s="170" t="s">
        <v>229</v>
      </c>
      <c r="C36" s="281"/>
    </row>
    <row r="37" spans="2:3" ht="15.75">
      <c r="B37" s="156" t="s">
        <v>137</v>
      </c>
      <c r="C37" s="275">
        <f>'5e. Emission rates from soils'!C48</f>
        <v>-0.9645310099999999</v>
      </c>
    </row>
    <row r="38" spans="2:3" ht="15.75">
      <c r="B38" s="156" t="s">
        <v>135</v>
      </c>
      <c r="C38" s="275">
        <f>23*16/12</f>
        <v>30.666666666666668</v>
      </c>
    </row>
    <row r="39" spans="2:3" ht="16.5" thickBot="1">
      <c r="B39" s="158" t="s">
        <v>254</v>
      </c>
      <c r="C39" s="282">
        <f>C7*(C34+C35)*C37*(C33/365)*C38</f>
        <v>-27946449.456948064</v>
      </c>
    </row>
    <row r="40" spans="2:3" ht="12.75">
      <c r="B40" s="170" t="s">
        <v>230</v>
      </c>
      <c r="C40" s="270"/>
    </row>
    <row r="41" spans="2:3" ht="15.75">
      <c r="B41" s="156" t="s">
        <v>138</v>
      </c>
      <c r="C41" s="278">
        <f>'5e. Emission rates from soils'!C46</f>
        <v>23.3738247</v>
      </c>
    </row>
    <row r="42" spans="2:3" ht="16.5" thickBot="1">
      <c r="B42" s="159" t="s">
        <v>253</v>
      </c>
      <c r="C42" s="276">
        <f>C7*(C34+C35)*C41*(365-C33)/365</f>
        <v>23200388.569975626</v>
      </c>
    </row>
    <row r="43" spans="2:3" ht="27.75" thickBot="1">
      <c r="B43" s="160" t="s">
        <v>232</v>
      </c>
      <c r="C43" s="271">
        <f>(C39+C42)</f>
        <v>-4746060.886972439</v>
      </c>
    </row>
    <row r="44" ht="12.75">
      <c r="C44" s="279"/>
    </row>
    <row r="45" spans="2:3" ht="15" thickBot="1">
      <c r="B45" s="203" t="s">
        <v>172</v>
      </c>
      <c r="C45" s="107"/>
    </row>
    <row r="46" spans="2:3" ht="15.75">
      <c r="B46" s="205" t="s">
        <v>173</v>
      </c>
      <c r="C46" s="270">
        <f>IF('Input data'!C93=2,IF('Input data'!C94=2,'5d. CO2 loss from drained peat'!C30,'5d. CO2 loss from drained peat'!C15),'5d. CO2 loss from drained peat'!C15)</f>
        <v>46604892.22436752</v>
      </c>
    </row>
    <row r="47" spans="2:3" ht="28.5">
      <c r="B47" s="208" t="s">
        <v>231</v>
      </c>
      <c r="C47" s="283">
        <f>IF('Input data'!C93=2,IF('Input data'!C94=2,C43,C16),C16)</f>
        <v>-4746060.886972439</v>
      </c>
    </row>
    <row r="48" spans="2:3" ht="15" thickBot="1">
      <c r="B48" s="209" t="s">
        <v>174</v>
      </c>
      <c r="C48" s="284">
        <f>C46-C47</f>
        <v>51350953.11133996</v>
      </c>
    </row>
    <row r="49" ht="13.5" thickBot="1"/>
    <row r="50" spans="2:3" ht="28.5">
      <c r="B50" s="137" t="s">
        <v>363</v>
      </c>
      <c r="C50" s="136" t="s">
        <v>66</v>
      </c>
    </row>
    <row r="51" spans="2:3" ht="12.75">
      <c r="B51" s="76" t="s">
        <v>77</v>
      </c>
      <c r="C51" s="135">
        <f>'1. Windfarm CO2 emission saving'!C20</f>
        <v>1830664.8</v>
      </c>
    </row>
    <row r="52" spans="2:3" ht="12.75">
      <c r="B52" s="76" t="s">
        <v>78</v>
      </c>
      <c r="C52" s="135">
        <f>'1. Windfarm CO2 emission saving'!C21</f>
        <v>915332.4</v>
      </c>
    </row>
    <row r="53" spans="2:3" ht="13.5" thickBot="1">
      <c r="B53" s="42" t="s">
        <v>128</v>
      </c>
      <c r="C53" s="134">
        <f>'1. Windfarm CO2 emission saving'!C22</f>
        <v>1292108.76</v>
      </c>
    </row>
    <row r="54" ht="13.5" thickBot="1"/>
    <row r="55" spans="2:4" ht="38.25">
      <c r="B55" s="129" t="s">
        <v>375</v>
      </c>
      <c r="C55" s="130" t="s">
        <v>215</v>
      </c>
      <c r="D55" s="130" t="s">
        <v>213</v>
      </c>
    </row>
    <row r="56" spans="2:4" ht="12.75">
      <c r="B56" s="76" t="s">
        <v>69</v>
      </c>
      <c r="C56" s="140">
        <f>C48/C51</f>
        <v>28.05043998843478</v>
      </c>
      <c r="D56" s="251">
        <f>C56*12</f>
        <v>336.60527986121735</v>
      </c>
    </row>
    <row r="57" spans="2:4" ht="12.75">
      <c r="B57" s="76" t="s">
        <v>70</v>
      </c>
      <c r="C57" s="306">
        <f>C48/C52</f>
        <v>56.10087997686956</v>
      </c>
      <c r="D57" s="307">
        <f>C57*12</f>
        <v>673.2105597224347</v>
      </c>
    </row>
    <row r="58" spans="2:4" ht="13.5" thickBot="1">
      <c r="B58" s="305" t="s">
        <v>129</v>
      </c>
      <c r="C58" s="141">
        <f>C48/C53</f>
        <v>39.7419742834496</v>
      </c>
      <c r="D58" s="252">
        <f>C58*12</f>
        <v>476.90369140139524</v>
      </c>
    </row>
  </sheetData>
  <mergeCells count="1">
    <mergeCell ref="B3:G3"/>
  </mergeCells>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2:G48"/>
  <sheetViews>
    <sheetView workbookViewId="0" topLeftCell="A10">
      <selection activeCell="A1" sqref="A1"/>
    </sheetView>
  </sheetViews>
  <sheetFormatPr defaultColWidth="9.140625" defaultRowHeight="12.75"/>
  <cols>
    <col min="1" max="1" width="3.140625" style="24" customWidth="1"/>
    <col min="2" max="2" width="62.00390625" style="24" bestFit="1" customWidth="1"/>
    <col min="3" max="3" width="20.140625" style="279" bestFit="1" customWidth="1"/>
    <col min="4" max="16384" width="9.140625" style="24" customWidth="1"/>
  </cols>
  <sheetData>
    <row r="1" ht="6" customHeight="1"/>
    <row r="2" spans="2:7" ht="12.75">
      <c r="B2" s="84"/>
      <c r="C2" s="285"/>
      <c r="D2" s="85"/>
      <c r="E2" s="85"/>
      <c r="F2" s="85"/>
      <c r="G2" s="86"/>
    </row>
    <row r="3" spans="2:7" ht="32.25" customHeight="1">
      <c r="B3" s="578" t="s">
        <v>154</v>
      </c>
      <c r="C3" s="579"/>
      <c r="D3" s="579"/>
      <c r="E3" s="579"/>
      <c r="F3" s="579"/>
      <c r="G3" s="580"/>
    </row>
    <row r="4" spans="2:7" ht="12.75">
      <c r="B4" s="90"/>
      <c r="C4" s="286"/>
      <c r="D4" s="91"/>
      <c r="E4" s="91"/>
      <c r="F4" s="91"/>
      <c r="G4" s="92"/>
    </row>
    <row r="5" spans="2:7" ht="12.75">
      <c r="B5" s="181"/>
      <c r="C5" s="287"/>
      <c r="D5" s="181"/>
      <c r="E5" s="181"/>
      <c r="F5" s="181"/>
      <c r="G5" s="181"/>
    </row>
    <row r="6" spans="2:7" ht="12.75">
      <c r="B6" s="223" t="s">
        <v>205</v>
      </c>
      <c r="C6" s="288" t="str">
        <f>IF('Input data'!C96=1,'Input data'!H95,'Input data'!H96)</f>
        <v>Site specific</v>
      </c>
      <c r="D6" s="181"/>
      <c r="E6" s="181"/>
      <c r="F6" s="181"/>
      <c r="G6" s="181"/>
    </row>
    <row r="8" ht="12.75">
      <c r="B8" s="200" t="s">
        <v>136</v>
      </c>
    </row>
    <row r="9" spans="2:3" ht="12.75">
      <c r="B9" s="1" t="str">
        <f>'Input data'!B22</f>
        <v>Type of peatland</v>
      </c>
      <c r="C9" s="289" t="str">
        <f>IF('Input data'!C22=1,"Acid Bog","Fen")</f>
        <v>Acid Bog</v>
      </c>
    </row>
    <row r="10" ht="12.75">
      <c r="B10" s="26"/>
    </row>
    <row r="11" ht="12.75">
      <c r="B11" s="26" t="s">
        <v>210</v>
      </c>
    </row>
    <row r="12" spans="2:3" ht="14.25">
      <c r="B12" s="125" t="s">
        <v>134</v>
      </c>
      <c r="C12" s="39">
        <v>178</v>
      </c>
    </row>
    <row r="13" spans="2:3" ht="15.75">
      <c r="B13" s="34" t="s">
        <v>137</v>
      </c>
      <c r="C13" s="290">
        <f>(11/1000000000)*10000*365</f>
        <v>0.04015</v>
      </c>
    </row>
    <row r="14" spans="2:3" ht="15.75">
      <c r="B14" s="45" t="s">
        <v>138</v>
      </c>
      <c r="C14" s="291">
        <f>9.6*(12+16+16)/12</f>
        <v>35.199999999999996</v>
      </c>
    </row>
    <row r="16" ht="12.75">
      <c r="B16" s="26" t="s">
        <v>211</v>
      </c>
    </row>
    <row r="17" spans="2:3" ht="14.25">
      <c r="B17" s="125" t="s">
        <v>134</v>
      </c>
      <c r="C17" s="39">
        <v>169</v>
      </c>
    </row>
    <row r="18" spans="2:3" ht="15.75">
      <c r="B18" s="34" t="s">
        <v>137</v>
      </c>
      <c r="C18" s="290">
        <f>(60/1000000000)*10000*365</f>
        <v>0.21899999999999997</v>
      </c>
    </row>
    <row r="19" spans="2:3" ht="15.75">
      <c r="B19" s="45" t="s">
        <v>138</v>
      </c>
      <c r="C19" s="291">
        <f>9.6*(12+16+16)/12</f>
        <v>35.199999999999996</v>
      </c>
    </row>
    <row r="20" spans="2:3" ht="12.75">
      <c r="B20" s="112"/>
      <c r="C20" s="292"/>
    </row>
    <row r="21" ht="13.5" thickBot="1">
      <c r="B21" s="26" t="s">
        <v>212</v>
      </c>
    </row>
    <row r="22" spans="2:3" ht="14.25">
      <c r="B22" s="207" t="s">
        <v>134</v>
      </c>
      <c r="C22" s="281">
        <f>IF('Input data'!C22=1,'5e. Emission rates from soils'!C12,'5e. Emission rates from soils'!C17)</f>
        <v>178</v>
      </c>
    </row>
    <row r="23" spans="2:3" ht="15.75">
      <c r="B23" s="156" t="s">
        <v>137</v>
      </c>
      <c r="C23" s="274">
        <f>IF('Input data'!C22=1,'5e. Emission rates from soils'!C13,'5e. Emission rates from soils'!C18)</f>
        <v>0.04015</v>
      </c>
    </row>
    <row r="24" spans="2:3" ht="16.5" thickBot="1">
      <c r="B24" s="172" t="s">
        <v>138</v>
      </c>
      <c r="C24" s="273">
        <f>IF('Input data'!C22=1,'5e. Emission rates from soils'!C14,'5e. Emission rates from soils'!C19)</f>
        <v>35.199999999999996</v>
      </c>
    </row>
    <row r="26" ht="12.75">
      <c r="B26" s="200" t="s">
        <v>175</v>
      </c>
    </row>
    <row r="27" spans="2:3" ht="12.75">
      <c r="B27" s="221" t="s">
        <v>139</v>
      </c>
      <c r="C27" s="293"/>
    </row>
    <row r="28" spans="2:3" ht="12.75">
      <c r="B28" s="219" t="s">
        <v>140</v>
      </c>
      <c r="C28" s="47">
        <f>'5c. Volume of peat drained'!C62/10000</f>
        <v>55353.95925</v>
      </c>
    </row>
    <row r="29" spans="2:3" ht="14.25">
      <c r="B29" s="52" t="s">
        <v>200</v>
      </c>
      <c r="C29" s="72">
        <f>'5c. Volume of peat drained'!C63</f>
        <v>574933192.5</v>
      </c>
    </row>
    <row r="30" spans="2:3" ht="12.75">
      <c r="B30" s="220"/>
      <c r="C30" s="107"/>
    </row>
    <row r="31" ht="12.75">
      <c r="B31" s="203" t="s">
        <v>236</v>
      </c>
    </row>
    <row r="32" spans="2:3" ht="14.25">
      <c r="B32" s="3" t="s">
        <v>234</v>
      </c>
      <c r="C32" s="39">
        <f>'Input data'!C23</f>
        <v>7</v>
      </c>
    </row>
    <row r="33" spans="2:3" ht="12.75">
      <c r="B33" s="5" t="str">
        <f>'Input data'!B24</f>
        <v>Average depth of peat at site (m)</v>
      </c>
      <c r="C33" s="108">
        <f>'Input data'!C24</f>
        <v>1.6</v>
      </c>
    </row>
    <row r="34" spans="2:3" ht="12.75">
      <c r="B34" s="5" t="str">
        <f>'Input data'!B29</f>
        <v>Average soil pH</v>
      </c>
      <c r="C34" s="290">
        <f>'Input data'!C29</f>
        <v>4</v>
      </c>
    </row>
    <row r="35" spans="2:3" ht="12.75">
      <c r="B35" s="309" t="s">
        <v>274</v>
      </c>
      <c r="C35" s="290">
        <f>'Input data'!C27</f>
        <v>1</v>
      </c>
    </row>
    <row r="36" spans="2:3" ht="12.75">
      <c r="B36" s="7" t="s">
        <v>237</v>
      </c>
      <c r="C36" s="300">
        <f>C29/(C28*10000)</f>
        <v>1.0386487259265018</v>
      </c>
    </row>
    <row r="37" spans="2:4" ht="12.75">
      <c r="B37" s="112"/>
      <c r="C37" s="254"/>
      <c r="D37" s="112"/>
    </row>
    <row r="38" spans="2:4" ht="13.5" thickBot="1">
      <c r="B38" s="203" t="s">
        <v>203</v>
      </c>
      <c r="C38" s="254"/>
      <c r="D38" s="112"/>
    </row>
    <row r="39" spans="2:4" ht="15.75">
      <c r="B39" s="197" t="s">
        <v>201</v>
      </c>
      <c r="C39" s="294">
        <f>(3.667/1000)*(547+(71.7*C32)+(322*C33)+(4810*C36))</f>
        <v>24.05552136304764</v>
      </c>
      <c r="D39" s="112"/>
    </row>
    <row r="40" spans="2:4" ht="15.75">
      <c r="B40" s="10" t="s">
        <v>239</v>
      </c>
      <c r="C40" s="299">
        <f>(3.667/1000)*(547+(71.7*C32)+(322*C33)+(4810*C35))</f>
        <v>23.3738247</v>
      </c>
      <c r="D40" s="112"/>
    </row>
    <row r="41" spans="2:3" ht="15.75">
      <c r="B41" s="143" t="s">
        <v>202</v>
      </c>
      <c r="C41" s="298">
        <f>(3.667/1000)*(58.4+(3.11*C32)+(16.7*C34)-(410*C36))</f>
        <v>-1.0226382099687175</v>
      </c>
    </row>
    <row r="42" spans="2:3" ht="16.5" thickBot="1">
      <c r="B42" s="11" t="s">
        <v>238</v>
      </c>
      <c r="C42" s="295">
        <f>(3.667/1000)*(58.4+(3.11*C32)+(16.7*C34)-(410*C35))</f>
        <v>-0.9645310099999999</v>
      </c>
    </row>
    <row r="44" ht="13.5" thickBot="1">
      <c r="B44" s="222" t="s">
        <v>206</v>
      </c>
    </row>
    <row r="45" spans="2:3" ht="15.75">
      <c r="B45" s="197" t="s">
        <v>201</v>
      </c>
      <c r="C45" s="294">
        <f>IF('Input data'!$C$96=1,C24,C39)</f>
        <v>24.05552136304764</v>
      </c>
    </row>
    <row r="46" spans="2:3" ht="15.75">
      <c r="B46" s="10" t="s">
        <v>239</v>
      </c>
      <c r="C46" s="275">
        <f>IF('Input data'!$C$96=1,0,C40)</f>
        <v>23.3738247</v>
      </c>
    </row>
    <row r="47" spans="2:3" ht="15.75">
      <c r="B47" s="10" t="s">
        <v>202</v>
      </c>
      <c r="C47" s="275">
        <f>IF('Input data'!$C$96=1,C23,C41)</f>
        <v>-1.0226382099687175</v>
      </c>
    </row>
    <row r="48" spans="2:3" ht="16.5" thickBot="1">
      <c r="B48" s="11" t="s">
        <v>238</v>
      </c>
      <c r="C48" s="295">
        <f>IF('Input data'!$C$96=1,C23,C42)</f>
        <v>-0.9645310099999999</v>
      </c>
    </row>
  </sheetData>
  <mergeCells count="1">
    <mergeCell ref="B3:G3"/>
  </mergeCells>
  <printOptions/>
  <pageMargins left="0.75" right="0.75" top="1" bottom="1" header="0.5" footer="0.5"/>
  <pageSetup orientation="portrait" paperSize="9" r:id="rId2"/>
  <drawing r:id="rId1"/>
</worksheet>
</file>

<file path=xl/worksheets/sheet14.xml><?xml version="1.0" encoding="utf-8"?>
<worksheet xmlns="http://schemas.openxmlformats.org/spreadsheetml/2006/main" xmlns:r="http://schemas.openxmlformats.org/officeDocument/2006/relationships">
  <dimension ref="B2:H41"/>
  <sheetViews>
    <sheetView workbookViewId="0" topLeftCell="A1">
      <selection activeCell="C16" sqref="C16"/>
    </sheetView>
  </sheetViews>
  <sheetFormatPr defaultColWidth="9.140625" defaultRowHeight="12.75"/>
  <cols>
    <col min="1" max="1" width="3.57421875" style="24" customWidth="1"/>
    <col min="2" max="2" width="46.8515625" style="24" bestFit="1" customWidth="1"/>
    <col min="3" max="3" width="20.140625" style="24" customWidth="1"/>
    <col min="4" max="4" width="18.00390625" style="24" customWidth="1"/>
    <col min="5" max="5" width="11.8515625" style="24" customWidth="1"/>
    <col min="6" max="16384" width="9.140625" style="24" customWidth="1"/>
  </cols>
  <sheetData>
    <row r="1" ht="6" customHeight="1"/>
    <row r="2" spans="2:7" ht="12.75">
      <c r="B2" s="84"/>
      <c r="C2" s="85"/>
      <c r="D2" s="85"/>
      <c r="E2" s="85"/>
      <c r="F2" s="85"/>
      <c r="G2" s="86"/>
    </row>
    <row r="3" spans="2:7" ht="21" customHeight="1">
      <c r="B3" s="578" t="s">
        <v>315</v>
      </c>
      <c r="C3" s="579"/>
      <c r="D3" s="579"/>
      <c r="E3" s="579"/>
      <c r="F3" s="579"/>
      <c r="G3" s="580"/>
    </row>
    <row r="4" spans="2:7" ht="12.75">
      <c r="B4" s="90"/>
      <c r="C4" s="91"/>
      <c r="D4" s="91"/>
      <c r="E4" s="91"/>
      <c r="F4" s="91"/>
      <c r="G4" s="92"/>
    </row>
    <row r="6" spans="2:3" ht="12.75">
      <c r="B6" s="50" t="s">
        <v>156</v>
      </c>
      <c r="C6" s="4"/>
    </row>
    <row r="7" spans="2:3" ht="15.75">
      <c r="B7" s="94" t="s">
        <v>267</v>
      </c>
      <c r="C7" s="114">
        <f>IF('5b. CO2 loss from removed peat'!C11&gt;0,'5b. CO2 loss from removed peat'!C11,0)</f>
        <v>1885394.71887954</v>
      </c>
    </row>
    <row r="8" spans="2:3" ht="15.75">
      <c r="B8" s="34" t="s">
        <v>268</v>
      </c>
      <c r="C8" s="114">
        <f>IF('5d. CO2 loss from drained peat'!C29-'5d. CO2 loss from drained peat'!C42&lt;0,0,'5d. CO2 loss from drained peat'!C29-'5d. CO2 loss from drained peat'!C42)</f>
        <v>23404503.654391896</v>
      </c>
    </row>
    <row r="9" spans="2:3" ht="16.5" customHeight="1">
      <c r="B9" s="34" t="s">
        <v>269</v>
      </c>
      <c r="C9" s="114">
        <f>IF('5d. CO2 loss from drained peat'!C26-'5d. CO2 loss from drained peat'!C39&lt;0,0,'5d. CO2 loss from drained peat'!C26-'5d. CO2 loss from drained peat'!C39)</f>
        <v>27946449.456948064</v>
      </c>
    </row>
    <row r="10" spans="2:3" ht="15.75">
      <c r="B10" s="34" t="s">
        <v>314</v>
      </c>
      <c r="C10" s="114">
        <f>IF('8. CO2 gain - site improvement'!C31-'8. CO2 gain - site improvement'!C44&lt;0,0,'8. CO2 gain - site improvement'!C31-'8. CO2 gain - site improvement'!C44)</f>
        <v>70737.53929780549</v>
      </c>
    </row>
    <row r="11" spans="2:3" ht="15.75">
      <c r="B11" s="34" t="s">
        <v>270</v>
      </c>
      <c r="C11" s="114">
        <f>IF('8. CO2 gain - site improvement'!C26-'8. CO2 gain - site improvement'!C41&lt;0,0,'8. CO2 gain - site improvement'!C26-'8. CO2 gain - site improvement'!C41)</f>
        <v>0</v>
      </c>
    </row>
    <row r="12" spans="2:3" ht="15.75">
      <c r="B12" s="125" t="s">
        <v>135</v>
      </c>
      <c r="C12" s="382">
        <f>'5d. CO2 loss from drained peat'!C38</f>
        <v>30.666666666666668</v>
      </c>
    </row>
    <row r="13" spans="2:3" ht="12.75">
      <c r="B13" s="125" t="s">
        <v>164</v>
      </c>
      <c r="C13" s="35">
        <v>10</v>
      </c>
    </row>
    <row r="14" spans="2:3" ht="15.75">
      <c r="B14" s="45" t="s">
        <v>166</v>
      </c>
      <c r="C14" s="8">
        <v>100</v>
      </c>
    </row>
    <row r="15" spans="2:3" ht="12.75">
      <c r="B15" s="125" t="s">
        <v>388</v>
      </c>
      <c r="C15" s="35">
        <v>15</v>
      </c>
    </row>
    <row r="16" spans="2:3" ht="15.75">
      <c r="B16" s="45" t="s">
        <v>389</v>
      </c>
      <c r="C16" s="8">
        <v>100</v>
      </c>
    </row>
    <row r="17" spans="2:3" ht="12.75">
      <c r="B17" s="125" t="s">
        <v>162</v>
      </c>
      <c r="C17" s="35">
        <f>(C7+C8+C10+(C9+C11)/C12)/3.66</f>
        <v>7178123.818980797</v>
      </c>
    </row>
    <row r="18" spans="2:3" ht="12.75">
      <c r="B18" s="34" t="s">
        <v>165</v>
      </c>
      <c r="C18" s="114">
        <f>C13*C17/100</f>
        <v>717812.3818980796</v>
      </c>
    </row>
    <row r="19" spans="2:3" ht="12.75">
      <c r="B19" s="7" t="s">
        <v>391</v>
      </c>
      <c r="C19" s="36">
        <f>C15*C17/100</f>
        <v>1076718.5728471195</v>
      </c>
    </row>
    <row r="20" ht="13.5" thickBot="1">
      <c r="C20" s="492"/>
    </row>
    <row r="21" spans="2:8" ht="15.75">
      <c r="B21" s="194" t="s">
        <v>167</v>
      </c>
      <c r="C21" s="490">
        <f>IF(C18&gt;0,(C14/100)*C18*3.66,0)</f>
        <v>2627193.3177469717</v>
      </c>
      <c r="D21" s="190"/>
      <c r="E21" s="190"/>
      <c r="F21" s="190"/>
      <c r="G21" s="190"/>
      <c r="H21" s="190"/>
    </row>
    <row r="22" spans="2:8" ht="16.5" thickBot="1">
      <c r="B22" s="491" t="s">
        <v>390</v>
      </c>
      <c r="C22" s="362">
        <f>IF(C19&gt;0,(C16/100)*C19*3.66,0)</f>
        <v>3940789.9766204576</v>
      </c>
      <c r="D22" s="190"/>
      <c r="E22" s="190"/>
      <c r="F22" s="190"/>
      <c r="G22" s="190"/>
      <c r="H22" s="190"/>
    </row>
    <row r="23" spans="2:8" ht="16.5" thickBot="1">
      <c r="B23" s="491" t="s">
        <v>392</v>
      </c>
      <c r="C23" s="308">
        <f>C21+C22</f>
        <v>6567983.294367429</v>
      </c>
      <c r="D23" s="190"/>
      <c r="E23" s="190"/>
      <c r="F23" s="190"/>
      <c r="G23" s="190"/>
      <c r="H23" s="190"/>
    </row>
    <row r="24" spans="2:8" ht="16.5" thickBot="1">
      <c r="B24" s="192"/>
      <c r="C24" s="193"/>
      <c r="D24" s="185"/>
      <c r="E24" s="186"/>
      <c r="F24" s="590"/>
      <c r="G24" s="590"/>
      <c r="H24" s="591"/>
    </row>
    <row r="25" spans="2:8" ht="28.5">
      <c r="B25" s="137" t="s">
        <v>363</v>
      </c>
      <c r="C25" s="136" t="s">
        <v>66</v>
      </c>
      <c r="E25" s="185"/>
      <c r="F25" s="185"/>
      <c r="G25" s="185"/>
      <c r="H25" s="187"/>
    </row>
    <row r="26" spans="2:8" ht="15.75">
      <c r="B26" s="76" t="s">
        <v>77</v>
      </c>
      <c r="C26" s="135">
        <f>'1. Windfarm CO2 emission saving'!C20</f>
        <v>1830664.8</v>
      </c>
      <c r="E26" s="191"/>
      <c r="F26" s="188"/>
      <c r="G26" s="188"/>
      <c r="H26" s="188"/>
    </row>
    <row r="27" spans="2:8" ht="15.75">
      <c r="B27" s="76" t="s">
        <v>78</v>
      </c>
      <c r="C27" s="135">
        <f>'1. Windfarm CO2 emission saving'!C21</f>
        <v>915332.4</v>
      </c>
      <c r="E27" s="191"/>
      <c r="F27" s="188"/>
      <c r="G27" s="188"/>
      <c r="H27" s="188"/>
    </row>
    <row r="28" spans="2:8" ht="16.5" thickBot="1">
      <c r="B28" s="42" t="s">
        <v>128</v>
      </c>
      <c r="C28" s="134">
        <f>'1. Windfarm CO2 emission saving'!C22</f>
        <v>1292108.76</v>
      </c>
      <c r="E28" s="381"/>
      <c r="F28" s="188"/>
      <c r="G28" s="188"/>
      <c r="H28" s="188"/>
    </row>
    <row r="29" spans="5:8" ht="16.5" thickBot="1">
      <c r="E29" s="191"/>
      <c r="F29" s="188"/>
      <c r="G29" s="188"/>
      <c r="H29" s="188"/>
    </row>
    <row r="30" spans="2:8" ht="38.25">
      <c r="B30" s="129" t="s">
        <v>401</v>
      </c>
      <c r="C30" s="130" t="s">
        <v>215</v>
      </c>
      <c r="D30" s="130" t="s">
        <v>213</v>
      </c>
      <c r="E30" s="301"/>
      <c r="F30" s="301"/>
      <c r="G30" s="301"/>
      <c r="H30" s="190"/>
    </row>
    <row r="31" spans="2:8" ht="15.75">
      <c r="B31" s="76" t="s">
        <v>69</v>
      </c>
      <c r="C31" s="140">
        <f>C23/C26</f>
        <v>3.587758553268424</v>
      </c>
      <c r="D31" s="251">
        <f>C31*12</f>
        <v>43.05310263922109</v>
      </c>
      <c r="E31" s="185"/>
      <c r="F31" s="301"/>
      <c r="G31" s="301"/>
      <c r="H31" s="190"/>
    </row>
    <row r="32" spans="2:8" ht="15.75">
      <c r="B32" s="76" t="s">
        <v>70</v>
      </c>
      <c r="C32" s="306">
        <f>C23/C27</f>
        <v>7.175517106536848</v>
      </c>
      <c r="D32" s="307">
        <f>C32*12</f>
        <v>86.10620527844218</v>
      </c>
      <c r="E32" s="185"/>
      <c r="F32" s="185"/>
      <c r="G32" s="301"/>
      <c r="H32" s="190"/>
    </row>
    <row r="33" spans="2:8" ht="16.5" thickBot="1">
      <c r="B33" s="305" t="s">
        <v>129</v>
      </c>
      <c r="C33" s="141">
        <f>C23/C28</f>
        <v>5.083150503806993</v>
      </c>
      <c r="D33" s="252">
        <f>C33*12</f>
        <v>60.997806045683916</v>
      </c>
      <c r="E33" s="189"/>
      <c r="F33" s="189"/>
      <c r="G33" s="301"/>
      <c r="H33" s="190"/>
    </row>
    <row r="34" spans="2:8" ht="15.75">
      <c r="B34" s="301"/>
      <c r="C34" s="191"/>
      <c r="D34" s="189"/>
      <c r="E34" s="189"/>
      <c r="F34" s="189"/>
      <c r="G34" s="301"/>
      <c r="H34" s="190"/>
    </row>
    <row r="35" spans="2:8" ht="15.75">
      <c r="B35" s="190"/>
      <c r="C35" s="190"/>
      <c r="D35" s="190"/>
      <c r="E35" s="190"/>
      <c r="F35" s="190"/>
      <c r="G35" s="190"/>
      <c r="H35" s="190"/>
    </row>
    <row r="36" spans="2:8" ht="15.75">
      <c r="B36" s="190"/>
      <c r="C36" s="190"/>
      <c r="D36" s="190"/>
      <c r="E36" s="190"/>
      <c r="F36" s="190"/>
      <c r="G36" s="190"/>
      <c r="H36" s="190"/>
    </row>
    <row r="37" spans="2:8" ht="15.75">
      <c r="B37" s="190"/>
      <c r="C37" s="190"/>
      <c r="D37" s="190"/>
      <c r="E37" s="190"/>
      <c r="F37" s="190"/>
      <c r="G37" s="190"/>
      <c r="H37" s="190"/>
    </row>
    <row r="38" spans="2:8" ht="15.75">
      <c r="B38" s="190"/>
      <c r="C38" s="190"/>
      <c r="D38" s="190"/>
      <c r="E38" s="190"/>
      <c r="F38" s="190"/>
      <c r="G38" s="190"/>
      <c r="H38" s="190"/>
    </row>
    <row r="39" spans="2:8" ht="15.75">
      <c r="B39" s="190"/>
      <c r="C39" s="190"/>
      <c r="D39" s="190"/>
      <c r="E39" s="190"/>
      <c r="F39" s="190"/>
      <c r="G39" s="190"/>
      <c r="H39" s="190"/>
    </row>
    <row r="40" spans="2:8" ht="15.75">
      <c r="B40" s="190"/>
      <c r="C40" s="190"/>
      <c r="D40" s="190"/>
      <c r="E40" s="190"/>
      <c r="F40" s="190"/>
      <c r="G40" s="190"/>
      <c r="H40" s="190"/>
    </row>
    <row r="41" spans="2:8" ht="15.75">
      <c r="B41" s="190"/>
      <c r="C41" s="190"/>
      <c r="D41" s="190"/>
      <c r="E41" s="190"/>
      <c r="F41" s="190"/>
      <c r="G41" s="190"/>
      <c r="H41" s="190"/>
    </row>
  </sheetData>
  <mergeCells count="2">
    <mergeCell ref="B3:G3"/>
    <mergeCell ref="F24:H24"/>
  </mergeCells>
  <printOptions/>
  <pageMargins left="0.75" right="0.75" top="1" bottom="1" header="0.5" footer="0.5"/>
  <pageSetup orientation="portrait" paperSize="9" r:id="rId2"/>
  <drawing r:id="rId1"/>
</worksheet>
</file>

<file path=xl/worksheets/sheet15.xml><?xml version="1.0" encoding="utf-8"?>
<worksheet xmlns="http://schemas.openxmlformats.org/spreadsheetml/2006/main" xmlns:r="http://schemas.openxmlformats.org/officeDocument/2006/relationships">
  <dimension ref="B2:G21"/>
  <sheetViews>
    <sheetView workbookViewId="0" topLeftCell="A1">
      <selection activeCell="A1" sqref="A1"/>
    </sheetView>
  </sheetViews>
  <sheetFormatPr defaultColWidth="9.140625" defaultRowHeight="12.75"/>
  <cols>
    <col min="1" max="1" width="3.00390625" style="24" customWidth="1"/>
    <col min="2" max="2" width="52.8515625" style="24" customWidth="1"/>
    <col min="3" max="3" width="32.00390625" style="25" customWidth="1"/>
    <col min="4" max="4" width="21.421875" style="24" customWidth="1"/>
    <col min="5" max="16384" width="9.140625" style="24" customWidth="1"/>
  </cols>
  <sheetData>
    <row r="1" ht="6" customHeight="1"/>
    <row r="2" spans="2:7" ht="12.75">
      <c r="B2" s="84"/>
      <c r="C2" s="85"/>
      <c r="D2" s="85"/>
      <c r="E2" s="85"/>
      <c r="F2" s="85"/>
      <c r="G2" s="86"/>
    </row>
    <row r="3" spans="2:7" ht="26.25" customHeight="1">
      <c r="B3" s="578" t="s">
        <v>155</v>
      </c>
      <c r="C3" s="579"/>
      <c r="D3" s="579"/>
      <c r="E3" s="579"/>
      <c r="F3" s="579"/>
      <c r="G3" s="580"/>
    </row>
    <row r="4" spans="2:7" ht="12.75">
      <c r="B4" s="90"/>
      <c r="C4" s="91"/>
      <c r="D4" s="91"/>
      <c r="E4" s="91"/>
      <c r="F4" s="91"/>
      <c r="G4" s="92"/>
    </row>
    <row r="5" spans="2:3" ht="12.75">
      <c r="B5" s="119"/>
      <c r="C5" s="122"/>
    </row>
    <row r="6" spans="2:3" ht="12.75">
      <c r="B6" s="184" t="s">
        <v>124</v>
      </c>
      <c r="C6" s="117"/>
    </row>
    <row r="7" spans="2:3" ht="12.75">
      <c r="B7" s="53" t="s">
        <v>122</v>
      </c>
      <c r="C7" s="117">
        <f>'Input data'!C34</f>
        <v>0</v>
      </c>
    </row>
    <row r="8" spans="2:3" ht="14.25">
      <c r="B8" s="5" t="s">
        <v>121</v>
      </c>
      <c r="C8" s="117">
        <f>'Input data'!C35</f>
        <v>0</v>
      </c>
    </row>
    <row r="9" spans="2:3" ht="12.75">
      <c r="B9" s="5" t="str">
        <f>'Input data'!B12</f>
        <v>Life time of wind farm (years)</v>
      </c>
      <c r="C9" s="117">
        <f>'Input data'!C12</f>
        <v>25</v>
      </c>
    </row>
    <row r="10" spans="2:3" ht="14.25">
      <c r="B10" s="5" t="s">
        <v>266</v>
      </c>
      <c r="C10" s="117">
        <f>C8*C9</f>
        <v>0</v>
      </c>
    </row>
    <row r="11" spans="2:3" ht="14.25">
      <c r="B11" s="166" t="s">
        <v>123</v>
      </c>
      <c r="C11" s="167">
        <f>C10*C7*3.667</f>
        <v>0</v>
      </c>
    </row>
    <row r="13" spans="2:3" ht="15.75">
      <c r="B13" s="120" t="s">
        <v>363</v>
      </c>
      <c r="C13" s="155" t="s">
        <v>60</v>
      </c>
    </row>
    <row r="14" spans="2:3" ht="12.75">
      <c r="B14" s="53" t="s">
        <v>77</v>
      </c>
      <c r="C14" s="114">
        <f>'Payback Time'!C8</f>
        <v>1830664.8</v>
      </c>
    </row>
    <row r="15" spans="2:3" ht="12.75">
      <c r="B15" s="53" t="s">
        <v>78</v>
      </c>
      <c r="C15" s="124">
        <f>'Payback Time'!C9</f>
        <v>915332.4</v>
      </c>
    </row>
    <row r="16" spans="2:3" ht="12.75">
      <c r="B16" s="121" t="str">
        <f>'1. Windfarm CO2 emission saving'!B22</f>
        <v>         …fossil fuel - mix of electricity generation</v>
      </c>
      <c r="C16" s="123">
        <f>'1. Windfarm CO2 emission saving'!C22</f>
        <v>1292108.76</v>
      </c>
    </row>
    <row r="17" ht="13.5" thickBot="1"/>
    <row r="18" spans="2:4" ht="27">
      <c r="B18" s="132" t="s">
        <v>376</v>
      </c>
      <c r="C18" s="131" t="s">
        <v>71</v>
      </c>
      <c r="D18" s="131" t="s">
        <v>213</v>
      </c>
    </row>
    <row r="19" spans="2:4" ht="12.75">
      <c r="B19" s="76" t="s">
        <v>69</v>
      </c>
      <c r="C19" s="140">
        <f>C11/C14</f>
        <v>0</v>
      </c>
      <c r="D19" s="251">
        <f>C19*12</f>
        <v>0</v>
      </c>
    </row>
    <row r="20" spans="2:4" ht="12.75">
      <c r="B20" s="76" t="s">
        <v>70</v>
      </c>
      <c r="C20" s="140">
        <f>C11/C15</f>
        <v>0</v>
      </c>
      <c r="D20" s="251">
        <f>C20*12</f>
        <v>0</v>
      </c>
    </row>
    <row r="21" spans="2:4" ht="13.5" thickBot="1">
      <c r="B21" s="133" t="s">
        <v>129</v>
      </c>
      <c r="C21" s="141">
        <f>C11/C16</f>
        <v>0</v>
      </c>
      <c r="D21" s="252">
        <f>C21*12</f>
        <v>0</v>
      </c>
    </row>
  </sheetData>
  <mergeCells count="1">
    <mergeCell ref="B3:G3"/>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2:G67"/>
  <sheetViews>
    <sheetView workbookViewId="0" topLeftCell="A41">
      <selection activeCell="C65" sqref="C65"/>
    </sheetView>
  </sheetViews>
  <sheetFormatPr defaultColWidth="9.140625" defaultRowHeight="12.75"/>
  <cols>
    <col min="1" max="1" width="3.28125" style="24" customWidth="1"/>
    <col min="2" max="2" width="60.8515625" style="24" customWidth="1"/>
    <col min="3" max="3" width="18.421875" style="279" customWidth="1"/>
    <col min="4" max="4" width="21.28125" style="24" customWidth="1"/>
    <col min="5" max="5" width="17.00390625" style="24" customWidth="1"/>
    <col min="6" max="6" width="19.7109375" style="24" customWidth="1"/>
    <col min="7" max="7" width="14.421875" style="24" customWidth="1"/>
    <col min="8" max="16384" width="9.140625" style="24" customWidth="1"/>
  </cols>
  <sheetData>
    <row r="1" ht="6" customHeight="1"/>
    <row r="2" spans="2:7" ht="12.75">
      <c r="B2" s="84"/>
      <c r="C2" s="285"/>
      <c r="D2" s="85"/>
      <c r="E2" s="85"/>
      <c r="F2" s="85"/>
      <c r="G2" s="86"/>
    </row>
    <row r="3" spans="2:7" ht="32.25" customHeight="1">
      <c r="B3" s="578" t="s">
        <v>154</v>
      </c>
      <c r="C3" s="579"/>
      <c r="D3" s="579"/>
      <c r="E3" s="579"/>
      <c r="F3" s="579"/>
      <c r="G3" s="580"/>
    </row>
    <row r="4" spans="2:7" ht="12.75">
      <c r="B4" s="90"/>
      <c r="C4" s="286"/>
      <c r="D4" s="91"/>
      <c r="E4" s="91"/>
      <c r="F4" s="91"/>
      <c r="G4" s="92"/>
    </row>
    <row r="6" spans="2:3" ht="12.75">
      <c r="B6" s="166" t="str">
        <f>'Input data'!B96</f>
        <v>Choice of methodology for calculating emission factors</v>
      </c>
      <c r="C6" s="408" t="str">
        <f>IF('Input data'!C96=1,'Input data'!$H$95,'Input data'!$H$96)</f>
        <v>Site specific</v>
      </c>
    </row>
    <row r="8" ht="12.75">
      <c r="B8" s="222" t="s">
        <v>332</v>
      </c>
    </row>
    <row r="9" spans="2:7" ht="25.5">
      <c r="B9" s="407" t="s">
        <v>396</v>
      </c>
      <c r="C9" s="495" t="s">
        <v>318</v>
      </c>
      <c r="D9" s="495" t="s">
        <v>345</v>
      </c>
      <c r="E9" s="431" t="s">
        <v>356</v>
      </c>
      <c r="F9" s="503" t="s">
        <v>397</v>
      </c>
      <c r="G9" s="501"/>
    </row>
    <row r="10" spans="2:7" ht="12.75">
      <c r="B10" s="427" t="s">
        <v>322</v>
      </c>
      <c r="C10" s="428"/>
      <c r="D10" s="428"/>
      <c r="E10" s="428"/>
      <c r="F10" s="496"/>
      <c r="G10" s="501"/>
    </row>
    <row r="11" spans="2:7" ht="12.75">
      <c r="B11" s="70" t="str">
        <f>'Input data'!B12</f>
        <v>Life time of wind farm (years)</v>
      </c>
      <c r="C11" s="413">
        <f>'Input data'!C12</f>
        <v>25</v>
      </c>
      <c r="D11" s="290">
        <f>C11</f>
        <v>25</v>
      </c>
      <c r="E11" s="290">
        <f>D11</f>
        <v>25</v>
      </c>
      <c r="F11" s="413">
        <f>E11</f>
        <v>25</v>
      </c>
      <c r="G11" s="413"/>
    </row>
    <row r="12" spans="2:7" ht="12.75">
      <c r="B12" s="34" t="s">
        <v>317</v>
      </c>
      <c r="C12" s="413">
        <f>'Input data'!C76</f>
        <v>394</v>
      </c>
      <c r="D12" s="290">
        <f>'Input data'!C81</f>
        <v>0</v>
      </c>
      <c r="E12" s="290">
        <f>'Input data'!C86</f>
        <v>15.19</v>
      </c>
      <c r="F12" s="497">
        <f>'5c. Volume of peat drained'!C31/10000</f>
        <v>3216.72</v>
      </c>
      <c r="G12" s="413"/>
    </row>
    <row r="13" spans="2:7" ht="14.25">
      <c r="B13" s="409" t="s">
        <v>235</v>
      </c>
      <c r="C13" s="413">
        <f>'Input data'!C23</f>
        <v>7</v>
      </c>
      <c r="D13" s="290">
        <f aca="true" t="shared" si="0" ref="D13:E15">C13</f>
        <v>7</v>
      </c>
      <c r="E13" s="290">
        <f t="shared" si="0"/>
        <v>7</v>
      </c>
      <c r="F13" s="413">
        <f>E13</f>
        <v>7</v>
      </c>
      <c r="G13" s="413"/>
    </row>
    <row r="14" spans="2:7" ht="12.75">
      <c r="B14" s="69" t="s">
        <v>171</v>
      </c>
      <c r="C14" s="413">
        <f>'Input data'!C29</f>
        <v>4</v>
      </c>
      <c r="D14" s="290">
        <f t="shared" si="0"/>
        <v>4</v>
      </c>
      <c r="E14" s="290">
        <f t="shared" si="0"/>
        <v>4</v>
      </c>
      <c r="F14" s="413">
        <f>E14</f>
        <v>4</v>
      </c>
      <c r="G14" s="413"/>
    </row>
    <row r="15" spans="2:7" ht="12.75">
      <c r="B15" s="69" t="s">
        <v>294</v>
      </c>
      <c r="C15" s="414">
        <f>'Input data'!C24</f>
        <v>1.6</v>
      </c>
      <c r="D15" s="108">
        <f t="shared" si="0"/>
        <v>1.6</v>
      </c>
      <c r="E15" s="108">
        <f t="shared" si="0"/>
        <v>1.6</v>
      </c>
      <c r="F15" s="414">
        <f>E15</f>
        <v>1.6</v>
      </c>
      <c r="G15" s="414"/>
    </row>
    <row r="16" spans="2:7" ht="12.75">
      <c r="B16" s="70" t="s">
        <v>320</v>
      </c>
      <c r="C16" s="414">
        <f>'Input data'!C77</f>
        <v>1</v>
      </c>
      <c r="D16" s="108">
        <f>'Input data'!C82</f>
        <v>0</v>
      </c>
      <c r="E16" s="108">
        <f>'Input data'!C44</f>
        <v>1.6</v>
      </c>
      <c r="F16" s="414">
        <f>'Input data'!C48</f>
        <v>1.6</v>
      </c>
      <c r="G16" s="414"/>
    </row>
    <row r="17" spans="2:7" ht="12.75">
      <c r="B17" s="73" t="s">
        <v>10</v>
      </c>
      <c r="C17" s="415">
        <f>'Input data'!C78</f>
        <v>1</v>
      </c>
      <c r="D17" s="410">
        <f>'Input data'!C83</f>
        <v>0</v>
      </c>
      <c r="E17" s="410">
        <f>'Input data'!C87</f>
        <v>1</v>
      </c>
      <c r="F17" s="415">
        <f>'Input data'!C90</f>
        <v>1</v>
      </c>
      <c r="G17" s="414"/>
    </row>
    <row r="18" spans="2:7" ht="12.75">
      <c r="B18" s="424" t="s">
        <v>323</v>
      </c>
      <c r="C18" s="425"/>
      <c r="D18" s="426"/>
      <c r="E18" s="426"/>
      <c r="F18" s="425"/>
      <c r="G18" s="413"/>
    </row>
    <row r="19" spans="2:7" ht="14.25">
      <c r="B19" s="34" t="s">
        <v>134</v>
      </c>
      <c r="C19" s="413">
        <f>'5e. Emission rates from soils'!C22</f>
        <v>178</v>
      </c>
      <c r="D19" s="290">
        <f>C19</f>
        <v>178</v>
      </c>
      <c r="E19" s="290">
        <f>D19</f>
        <v>178</v>
      </c>
      <c r="F19" s="413">
        <f>E19</f>
        <v>178</v>
      </c>
      <c r="G19" s="413"/>
    </row>
    <row r="20" spans="2:7" ht="25.5">
      <c r="B20" s="70" t="s">
        <v>319</v>
      </c>
      <c r="C20" s="413">
        <f>'Input data'!C79</f>
        <v>10</v>
      </c>
      <c r="D20" s="290">
        <f>'Input data'!C84</f>
        <v>10</v>
      </c>
      <c r="E20" s="290">
        <f>'Input data'!C88</f>
        <v>10</v>
      </c>
      <c r="F20" s="413">
        <f>'Input data'!C91</f>
        <v>25</v>
      </c>
      <c r="G20" s="413"/>
    </row>
    <row r="21" spans="2:7" ht="12.75">
      <c r="B21" s="420" t="s">
        <v>9</v>
      </c>
      <c r="C21" s="421">
        <f>C11-C20</f>
        <v>15</v>
      </c>
      <c r="D21" s="289">
        <f>D11-D20</f>
        <v>15</v>
      </c>
      <c r="E21" s="289">
        <f>E11-E20</f>
        <v>15</v>
      </c>
      <c r="F21" s="421">
        <f>F11-F20</f>
        <v>0</v>
      </c>
      <c r="G21" s="413"/>
    </row>
    <row r="22" spans="2:7" ht="15" customHeight="1">
      <c r="B22" s="411" t="s">
        <v>6</v>
      </c>
      <c r="C22" s="414"/>
      <c r="D22" s="108"/>
      <c r="E22" s="108"/>
      <c r="F22" s="414"/>
      <c r="G22" s="414"/>
    </row>
    <row r="23" spans="2:7" ht="15.75">
      <c r="B23" s="219" t="s">
        <v>0</v>
      </c>
      <c r="C23" s="414">
        <f>(23*16/12)*(3.667/1000)*(58.4+(3.11*C13)+(16.7*C14)-(410*C17))</f>
        <v>-29.578950973333328</v>
      </c>
      <c r="D23" s="108">
        <f>(23*16/12)*(3.667/1000)*(58.4+(3.11*D13)+(16.7*D14)-(410*D17))</f>
        <v>16.527462359999998</v>
      </c>
      <c r="E23" s="108">
        <f>(23*16/12)*(3.667/1000)*(58.4+(3.11*E13)+(16.7*E14)-(410*E17))</f>
        <v>-29.578950973333328</v>
      </c>
      <c r="F23" s="414">
        <f>(23*16/12)*(3.667/1000)*(58.4+(3.11*F13)+(16.7*F14)-(410*F17))</f>
        <v>-29.578950973333328</v>
      </c>
      <c r="G23" s="414"/>
    </row>
    <row r="24" spans="2:7" ht="15.75">
      <c r="B24" s="219" t="s">
        <v>1</v>
      </c>
      <c r="C24" s="414">
        <f>(23*16/12)*'5e. Emission rates from soils'!C23</f>
        <v>1.2312666666666667</v>
      </c>
      <c r="D24" s="108">
        <f>C24</f>
        <v>1.2312666666666667</v>
      </c>
      <c r="E24" s="108">
        <f>D24</f>
        <v>1.2312666666666667</v>
      </c>
      <c r="F24" s="414">
        <f>E24</f>
        <v>1.2312666666666667</v>
      </c>
      <c r="G24" s="414"/>
    </row>
    <row r="25" spans="2:7" ht="15.75">
      <c r="B25" s="219" t="s">
        <v>2</v>
      </c>
      <c r="C25" s="414">
        <f>IF('Input data'!$C$96=2,C23,C24)</f>
        <v>-29.578950973333328</v>
      </c>
      <c r="D25" s="108">
        <f>IF('Input data'!$C$96=2,D23,D24)</f>
        <v>16.527462359999998</v>
      </c>
      <c r="E25" s="108">
        <f>IF('Input data'!$C$96=2,E23,E24)</f>
        <v>-29.578950973333328</v>
      </c>
      <c r="F25" s="414">
        <f>IF('Input data'!$C$96=2,F23,F24)</f>
        <v>-29.578950973333328</v>
      </c>
      <c r="G25" s="414"/>
    </row>
    <row r="26" spans="2:7" ht="15.75">
      <c r="B26" s="125" t="s">
        <v>324</v>
      </c>
      <c r="C26" s="416">
        <f>C12*C21*C25*(C19/365)</f>
        <v>-85250.58861623889</v>
      </c>
      <c r="D26" s="46">
        <f>D12*D21*D25*(D19/365)</f>
        <v>0</v>
      </c>
      <c r="E26" s="46">
        <f>E12*E21*E25*(E19/365)</f>
        <v>-3286.691474824032</v>
      </c>
      <c r="F26" s="416">
        <f>F12*F21*F25*(F19/365)</f>
        <v>0</v>
      </c>
      <c r="G26" s="497"/>
    </row>
    <row r="27" spans="2:7" ht="12.75">
      <c r="B27" s="363" t="s">
        <v>7</v>
      </c>
      <c r="C27" s="416"/>
      <c r="D27" s="46"/>
      <c r="E27" s="46"/>
      <c r="F27" s="416"/>
      <c r="G27" s="497"/>
    </row>
    <row r="28" spans="2:7" ht="15.75">
      <c r="B28" s="219" t="s">
        <v>3</v>
      </c>
      <c r="C28" s="417">
        <f>(3.667/1000)*(547+(71.7*C13)+(322*C15)+(4810*C17))</f>
        <v>23.3738247</v>
      </c>
      <c r="D28" s="145">
        <f>(3.667/1000)*(547+(71.7*D13)+(322*D15)+(4810*D17))</f>
        <v>5.7355547</v>
      </c>
      <c r="E28" s="145">
        <f>(3.667/1000)*(547+(71.7*E13)+(322*E15)+(4810*E17))</f>
        <v>23.3738247</v>
      </c>
      <c r="F28" s="417">
        <f>(3.667/1000)*(547+(71.7*F13)+(322*F15)+(4810*F17))</f>
        <v>23.3738247</v>
      </c>
      <c r="G28" s="417"/>
    </row>
    <row r="29" spans="2:7" ht="15.75">
      <c r="B29" s="219" t="s">
        <v>4</v>
      </c>
      <c r="C29" s="417">
        <f>'5e. Emission rates from soils'!C24</f>
        <v>35.199999999999996</v>
      </c>
      <c r="D29" s="145">
        <f>C29</f>
        <v>35.199999999999996</v>
      </c>
      <c r="E29" s="145">
        <f>D29</f>
        <v>35.199999999999996</v>
      </c>
      <c r="F29" s="417">
        <f>E29</f>
        <v>35.199999999999996</v>
      </c>
      <c r="G29" s="417"/>
    </row>
    <row r="30" spans="2:7" ht="15.75">
      <c r="B30" s="219" t="s">
        <v>5</v>
      </c>
      <c r="C30" s="417">
        <f>IF('Input data'!C96=2,'8. CO2 gain - site improvement'!C28,'8. CO2 gain - site improvement'!C29)</f>
        <v>23.3738247</v>
      </c>
      <c r="D30" s="145">
        <f>IF('Input data'!C96=2,'8. CO2 gain - site improvement'!D28,'8. CO2 gain - site improvement'!D29)</f>
        <v>5.7355547</v>
      </c>
      <c r="E30" s="145">
        <f>IF('Input data'!C96=2,'8. CO2 gain - site improvement'!E28,'8. CO2 gain - site improvement'!E29)</f>
        <v>23.3738247</v>
      </c>
      <c r="F30" s="417">
        <f>IF('Input data'!C96=2,'8. CO2 gain - site improvement'!F28,'8. CO2 gain - site improvement'!F29)</f>
        <v>23.3738247</v>
      </c>
      <c r="G30" s="417"/>
    </row>
    <row r="31" spans="2:7" ht="15.75">
      <c r="B31" s="412" t="s">
        <v>325</v>
      </c>
      <c r="C31" s="418">
        <f>C12*C21*C30*(365-C19)/365</f>
        <v>70772.73929780548</v>
      </c>
      <c r="D31" s="83">
        <f>D12*D21*D30*(365-D19)/365</f>
        <v>0</v>
      </c>
      <c r="E31" s="83">
        <f>E12*E21*E30*(365-E19)/365</f>
        <v>2728.5226140448353</v>
      </c>
      <c r="F31" s="418">
        <f>F12*F21*F30*(365-F19)/365</f>
        <v>0</v>
      </c>
      <c r="G31" s="497"/>
    </row>
    <row r="32" spans="2:7" ht="15" thickBot="1">
      <c r="B32" s="419" t="s">
        <v>8</v>
      </c>
      <c r="C32" s="429">
        <f>(C26+C31)</f>
        <v>-14477.849318433407</v>
      </c>
      <c r="D32" s="430">
        <f>(D26+D31)</f>
        <v>0</v>
      </c>
      <c r="E32" s="430">
        <f>(E26+E31)</f>
        <v>-558.1688607791966</v>
      </c>
      <c r="F32" s="429">
        <f>(F26+F31)</f>
        <v>0</v>
      </c>
      <c r="G32" s="502"/>
    </row>
    <row r="33" spans="2:7" ht="12.75">
      <c r="B33" s="422" t="s">
        <v>326</v>
      </c>
      <c r="C33" s="256"/>
      <c r="D33" s="423"/>
      <c r="E33" s="423"/>
      <c r="F33" s="256"/>
      <c r="G33" s="413"/>
    </row>
    <row r="34" spans="2:7" ht="14.25">
      <c r="B34" s="34" t="s">
        <v>134</v>
      </c>
      <c r="C34" s="413">
        <v>0</v>
      </c>
      <c r="D34" s="290">
        <v>0</v>
      </c>
      <c r="E34" s="290">
        <v>0</v>
      </c>
      <c r="F34" s="413">
        <v>0</v>
      </c>
      <c r="G34" s="413"/>
    </row>
    <row r="35" spans="2:7" ht="25.5">
      <c r="B35" s="70" t="s">
        <v>319</v>
      </c>
      <c r="C35" s="413">
        <f aca="true" t="shared" si="1" ref="C35:E36">C20</f>
        <v>10</v>
      </c>
      <c r="D35" s="290">
        <f t="shared" si="1"/>
        <v>10</v>
      </c>
      <c r="E35" s="290">
        <f t="shared" si="1"/>
        <v>10</v>
      </c>
      <c r="F35" s="413">
        <f>F20</f>
        <v>25</v>
      </c>
      <c r="G35" s="413"/>
    </row>
    <row r="36" spans="2:7" ht="12.75">
      <c r="B36" s="420" t="s">
        <v>9</v>
      </c>
      <c r="C36" s="421">
        <f>C21</f>
        <v>15</v>
      </c>
      <c r="D36" s="289">
        <f t="shared" si="1"/>
        <v>15</v>
      </c>
      <c r="E36" s="289">
        <f t="shared" si="1"/>
        <v>15</v>
      </c>
      <c r="F36" s="421">
        <f>F21</f>
        <v>0</v>
      </c>
      <c r="G36" s="413"/>
    </row>
    <row r="37" spans="2:7" ht="12.75">
      <c r="B37" s="411" t="s">
        <v>327</v>
      </c>
      <c r="C37" s="414"/>
      <c r="D37" s="108"/>
      <c r="E37" s="108"/>
      <c r="F37" s="414"/>
      <c r="G37" s="414"/>
    </row>
    <row r="38" spans="2:7" ht="15.75">
      <c r="B38" s="219" t="s">
        <v>0</v>
      </c>
      <c r="C38" s="414">
        <f>(23*16/12)*(3.667/1000)*(58.4+(3.11*C13)+(16.7*C14)-(410*C16))</f>
        <v>-29.578950973333328</v>
      </c>
      <c r="D38" s="108">
        <f>(23*16/12)*(3.667/1000)*(58.4+(3.11*D13)+(16.7*D14)-(410*D16))</f>
        <v>16.527462359999998</v>
      </c>
      <c r="E38" s="108">
        <f>(23*16/12)*(3.667/1000)*(58.4+(3.11*E13)+(16.7*E14)-(410*E16))</f>
        <v>-57.24279897333333</v>
      </c>
      <c r="F38" s="414">
        <f>(23*16/12)*(3.667/1000)*(58.4+(3.11*F13)+(16.7*F14)-(410*F16))</f>
        <v>-57.24279897333333</v>
      </c>
      <c r="G38" s="414"/>
    </row>
    <row r="39" spans="2:7" ht="15.75">
      <c r="B39" s="219" t="s">
        <v>1</v>
      </c>
      <c r="C39" s="414">
        <f>(23*16/12)*'5e. Emission rates from soils'!C23</f>
        <v>1.2312666666666667</v>
      </c>
      <c r="D39" s="108">
        <f>(23*16/12)*'5e. Emission rates from soils'!C23</f>
        <v>1.2312666666666667</v>
      </c>
      <c r="E39" s="108">
        <f>(23*16/12)*'5e. Emission rates from soils'!$C$23</f>
        <v>1.2312666666666667</v>
      </c>
      <c r="F39" s="414">
        <f>(23*16/12)*'5e. Emission rates from soils'!$C$23</f>
        <v>1.2312666666666667</v>
      </c>
      <c r="G39" s="414"/>
    </row>
    <row r="40" spans="2:7" ht="15.75">
      <c r="B40" s="219" t="s">
        <v>2</v>
      </c>
      <c r="C40" s="414">
        <f>IF('Input data'!$C$96=2,C38,C39)</f>
        <v>-29.578950973333328</v>
      </c>
      <c r="D40" s="108">
        <f>IF('Input data'!$C$96=2,D38,D39)</f>
        <v>16.527462359999998</v>
      </c>
      <c r="E40" s="108">
        <f>IF('Input data'!$C$96=2,E38,E39)</f>
        <v>-57.24279897333333</v>
      </c>
      <c r="F40" s="414">
        <f>IF('Input data'!$C$96=2,F38,F39)</f>
        <v>-57.24279897333333</v>
      </c>
      <c r="G40" s="414"/>
    </row>
    <row r="41" spans="2:7" ht="15.75">
      <c r="B41" s="125" t="s">
        <v>329</v>
      </c>
      <c r="C41" s="416">
        <f>C12*C36*C40*(C34/365)</f>
        <v>0</v>
      </c>
      <c r="D41" s="416">
        <f>D12*D36*D40*(D34/365)</f>
        <v>0</v>
      </c>
      <c r="E41" s="83">
        <f>E12*E36*E40*(E34/365)</f>
        <v>0</v>
      </c>
      <c r="F41" s="418">
        <f>F12*F36*F40*(F34/365)</f>
        <v>0</v>
      </c>
      <c r="G41" s="497"/>
    </row>
    <row r="42" spans="2:7" ht="12.75">
      <c r="B42" s="363" t="s">
        <v>328</v>
      </c>
      <c r="C42" s="416"/>
      <c r="D42" s="46"/>
      <c r="E42" s="46"/>
      <c r="F42" s="416"/>
      <c r="G42" s="497"/>
    </row>
    <row r="43" spans="2:7" ht="15.75">
      <c r="B43" s="219" t="s">
        <v>3</v>
      </c>
      <c r="C43" s="417">
        <f>(3.667/1000)*(547+(71.7*C13)+(322*C15)+(4810*C16))</f>
        <v>23.3738247</v>
      </c>
      <c r="D43" s="145">
        <f>(3.667/1000)*(547+(71.7*D13)+(322*D15)+(4810*D16))</f>
        <v>5.7355547</v>
      </c>
      <c r="E43" s="145">
        <f>(3.667/1000)*(547+(71.7*E13)+(322*E15)+(4810*E16))</f>
        <v>33.956786699999995</v>
      </c>
      <c r="F43" s="417">
        <f>(3.667/1000)*(547+(71.7*F13)+(322*F15)+(4810*F16))</f>
        <v>33.956786699999995</v>
      </c>
      <c r="G43" s="417"/>
    </row>
    <row r="44" spans="2:7" ht="15.75">
      <c r="B44" s="219" t="s">
        <v>4</v>
      </c>
      <c r="C44" s="417">
        <f>'5e. Emission rates from soils'!C24</f>
        <v>35.199999999999996</v>
      </c>
      <c r="D44" s="145">
        <f>'5e. Emission rates from soils'!$C$24</f>
        <v>35.199999999999996</v>
      </c>
      <c r="E44" s="145">
        <f>'5e. Emission rates from soils'!$C$24</f>
        <v>35.199999999999996</v>
      </c>
      <c r="F44" s="417">
        <f>'5e. Emission rates from soils'!$C$24</f>
        <v>35.199999999999996</v>
      </c>
      <c r="G44" s="417"/>
    </row>
    <row r="45" spans="2:7" ht="15.75">
      <c r="B45" s="219" t="s">
        <v>5</v>
      </c>
      <c r="C45" s="417">
        <f>IF('Input data'!C96=2,'8. CO2 gain - site improvement'!C43,'8. CO2 gain - site improvement'!C44)</f>
        <v>23.3738247</v>
      </c>
      <c r="D45" s="291">
        <f>IF('Input data'!C96=2,'8. CO2 gain - site improvement'!D43,'8. CO2 gain - site improvement'!D44)</f>
        <v>5.7355547</v>
      </c>
      <c r="E45" s="291">
        <f>IF('Input data'!C96=2,'8. CO2 gain - site improvement'!E43,'8. CO2 gain - site improvement'!E44)</f>
        <v>33.956786699999995</v>
      </c>
      <c r="F45" s="498">
        <f>IF('Input data'!C96=2,'8. CO2 gain - site improvement'!F43,'8. CO2 gain - site improvement'!F44)</f>
        <v>33.956786699999995</v>
      </c>
      <c r="G45" s="417"/>
    </row>
    <row r="46" spans="2:7" ht="15.75">
      <c r="B46" s="412" t="s">
        <v>330</v>
      </c>
      <c r="C46" s="418">
        <f>C12*C36*C45*(365-C34)/365</f>
        <v>138139.303977</v>
      </c>
      <c r="D46" s="83">
        <f>D12*D36*D45*(365-D34)/365</f>
        <v>0</v>
      </c>
      <c r="E46" s="83">
        <f>E12*E36*E45*(365-E34)/365</f>
        <v>7737.053849594998</v>
      </c>
      <c r="F46" s="418">
        <f>F12*F36*F45*(365-F34)/365</f>
        <v>0</v>
      </c>
      <c r="G46" s="497"/>
    </row>
    <row r="47" spans="2:7" ht="15" thickBot="1">
      <c r="B47" s="419" t="s">
        <v>331</v>
      </c>
      <c r="C47" s="429">
        <f>(C41+C46)</f>
        <v>138139.303977</v>
      </c>
      <c r="D47" s="430">
        <f>(D41+D46)</f>
        <v>0</v>
      </c>
      <c r="E47" s="430">
        <f>(E41+E46)</f>
        <v>7737.053849594998</v>
      </c>
      <c r="F47" s="429">
        <f>(F41+F46)</f>
        <v>0</v>
      </c>
      <c r="G47" s="502"/>
    </row>
    <row r="48" spans="2:7" ht="13.5" thickBot="1">
      <c r="B48" s="422" t="s">
        <v>334</v>
      </c>
      <c r="C48" s="256"/>
      <c r="D48" s="423"/>
      <c r="E48" s="423"/>
      <c r="F48" s="256"/>
      <c r="G48" s="413"/>
    </row>
    <row r="49" spans="2:7" ht="20.25" customHeight="1">
      <c r="B49" s="205" t="s">
        <v>335</v>
      </c>
      <c r="C49" s="270">
        <f>C32</f>
        <v>-14477.849318433407</v>
      </c>
      <c r="D49" s="270">
        <f>D32</f>
        <v>0</v>
      </c>
      <c r="E49" s="270">
        <f>E32</f>
        <v>-558.1688607791966</v>
      </c>
      <c r="F49" s="499">
        <f>F32</f>
        <v>0</v>
      </c>
      <c r="G49" s="497"/>
    </row>
    <row r="50" spans="2:7" ht="15.75">
      <c r="B50" s="206" t="s">
        <v>333</v>
      </c>
      <c r="C50" s="283">
        <f>C47</f>
        <v>138139.303977</v>
      </c>
      <c r="D50" s="283">
        <f>D47</f>
        <v>0</v>
      </c>
      <c r="E50" s="283">
        <f>E47</f>
        <v>7737.053849594998</v>
      </c>
      <c r="F50" s="500">
        <f>F47</f>
        <v>0</v>
      </c>
      <c r="G50" s="497"/>
    </row>
    <row r="51" spans="2:7" ht="15" thickBot="1">
      <c r="B51" s="204" t="s">
        <v>336</v>
      </c>
      <c r="C51" s="403">
        <f>C50-C49</f>
        <v>152617.1532954334</v>
      </c>
      <c r="D51" s="403">
        <f>D50-D49</f>
        <v>0</v>
      </c>
      <c r="E51" s="403">
        <f>E50-E49</f>
        <v>8295.222710374193</v>
      </c>
      <c r="F51" s="429">
        <f>F50-F49</f>
        <v>0</v>
      </c>
      <c r="G51" s="502"/>
    </row>
    <row r="52" spans="2:4" ht="12.75">
      <c r="B52" s="436"/>
      <c r="C52" s="437"/>
      <c r="D52" s="437"/>
    </row>
    <row r="53" spans="2:4" ht="15" thickBot="1">
      <c r="B53" s="438" t="s">
        <v>338</v>
      </c>
      <c r="C53" s="254"/>
      <c r="D53" s="254"/>
    </row>
    <row r="54" spans="2:3" ht="28.5">
      <c r="B54" s="137" t="s">
        <v>363</v>
      </c>
      <c r="C54" s="404" t="s">
        <v>66</v>
      </c>
    </row>
    <row r="55" spans="2:3" ht="12.75">
      <c r="B55" s="76" t="s">
        <v>340</v>
      </c>
      <c r="C55" s="405">
        <f>'1. Windfarm CO2 emission saving'!C20</f>
        <v>1830664.8</v>
      </c>
    </row>
    <row r="56" spans="2:3" ht="12.75">
      <c r="B56" s="76" t="s">
        <v>341</v>
      </c>
      <c r="C56" s="405">
        <f>'1. Windfarm CO2 emission saving'!C21</f>
        <v>915332.4</v>
      </c>
    </row>
    <row r="57" spans="2:3" ht="13.5" thickBot="1">
      <c r="B57" s="42" t="s">
        <v>339</v>
      </c>
      <c r="C57" s="406">
        <f>'1. Windfarm CO2 emission saving'!C22</f>
        <v>1292108.76</v>
      </c>
    </row>
    <row r="58" ht="13.5" thickBot="1"/>
    <row r="59" spans="2:7" ht="27">
      <c r="B59" s="129" t="s">
        <v>337</v>
      </c>
      <c r="C59" s="440" t="s">
        <v>318</v>
      </c>
      <c r="D59" s="453" t="s">
        <v>345</v>
      </c>
      <c r="E59" s="504" t="s">
        <v>356</v>
      </c>
      <c r="F59" s="130" t="s">
        <v>397</v>
      </c>
      <c r="G59" s="475" t="s">
        <v>377</v>
      </c>
    </row>
    <row r="60" spans="2:7" ht="12.75">
      <c r="B60" s="432"/>
      <c r="C60" s="592" t="s">
        <v>263</v>
      </c>
      <c r="D60" s="593"/>
      <c r="E60" s="593"/>
      <c r="F60" s="594"/>
      <c r="G60" s="474"/>
    </row>
    <row r="61" spans="2:7" ht="12.75">
      <c r="B61" s="161" t="s">
        <v>69</v>
      </c>
      <c r="C61" s="454">
        <f>C51/C55</f>
        <v>0.08336706604913877</v>
      </c>
      <c r="D61" s="454">
        <f>D51/C55</f>
        <v>0</v>
      </c>
      <c r="E61" s="505">
        <f>E51/C55</f>
        <v>0.004531262473815082</v>
      </c>
      <c r="F61" s="433">
        <f>F51/C55</f>
        <v>0</v>
      </c>
      <c r="G61" s="476">
        <f>SUM(C61:F61)</f>
        <v>0.08789832852295384</v>
      </c>
    </row>
    <row r="62" spans="2:7" ht="12.75">
      <c r="B62" s="161" t="s">
        <v>70</v>
      </c>
      <c r="C62" s="455">
        <f>C51/C56</f>
        <v>0.16673413209827753</v>
      </c>
      <c r="D62" s="455">
        <f>D51/C56</f>
        <v>0</v>
      </c>
      <c r="E62" s="506">
        <f>E51/C56</f>
        <v>0.009062524947630164</v>
      </c>
      <c r="F62" s="434">
        <f>F51/C56</f>
        <v>0</v>
      </c>
      <c r="G62" s="479">
        <f>SUM(C62:F62)</f>
        <v>0.1757966570459077</v>
      </c>
    </row>
    <row r="63" spans="2:7" ht="12.75">
      <c r="B63" s="451" t="s">
        <v>129</v>
      </c>
      <c r="C63" s="456">
        <f>C51/C57</f>
        <v>0.11811478880108622</v>
      </c>
      <c r="D63" s="456">
        <f>D51/C57</f>
        <v>0</v>
      </c>
      <c r="E63" s="507">
        <f>E51/C57</f>
        <v>0.006419910588930759</v>
      </c>
      <c r="F63" s="439">
        <f>F51/C57</f>
        <v>0</v>
      </c>
      <c r="G63" s="476">
        <f>SUM(C63:F63)</f>
        <v>0.12453469939001699</v>
      </c>
    </row>
    <row r="64" spans="2:7" ht="19.5" customHeight="1">
      <c r="B64" s="156"/>
      <c r="C64" s="595" t="s">
        <v>176</v>
      </c>
      <c r="D64" s="596"/>
      <c r="E64" s="596"/>
      <c r="F64" s="597"/>
      <c r="G64" s="477"/>
    </row>
    <row r="65" spans="2:7" ht="12.75">
      <c r="B65" s="161" t="s">
        <v>69</v>
      </c>
      <c r="C65" s="454">
        <f>12*C51/C55</f>
        <v>1.0004047925896653</v>
      </c>
      <c r="D65" s="454">
        <f>12*D51/C55</f>
        <v>0</v>
      </c>
      <c r="E65" s="505">
        <f>12*E51/C55</f>
        <v>0.05437514968578099</v>
      </c>
      <c r="F65" s="433">
        <f>12*F51/C55</f>
        <v>0</v>
      </c>
      <c r="G65" s="476">
        <f>SUM(C65:F65)</f>
        <v>1.0547799422754462</v>
      </c>
    </row>
    <row r="66" spans="2:7" ht="12.75">
      <c r="B66" s="161" t="s">
        <v>70</v>
      </c>
      <c r="C66" s="455">
        <f>12*C51/C56</f>
        <v>2.0008095851793306</v>
      </c>
      <c r="D66" s="455">
        <f>12*D51/C56</f>
        <v>0</v>
      </c>
      <c r="E66" s="506">
        <f>12*E51/C56</f>
        <v>0.10875029937156198</v>
      </c>
      <c r="F66" s="434">
        <f>12*F51/C56</f>
        <v>0</v>
      </c>
      <c r="G66" s="479">
        <f>SUM(C66:F66)</f>
        <v>2.1095598845508925</v>
      </c>
    </row>
    <row r="67" spans="2:7" ht="13.5" thickBot="1">
      <c r="B67" s="452" t="s">
        <v>129</v>
      </c>
      <c r="C67" s="457">
        <f>12*C51/C57</f>
        <v>1.417377465613035</v>
      </c>
      <c r="D67" s="457">
        <f>12*D51/C57</f>
        <v>0</v>
      </c>
      <c r="E67" s="508">
        <f>12*E51/C57</f>
        <v>0.07703892706716911</v>
      </c>
      <c r="F67" s="435">
        <f>12*F51/C57</f>
        <v>0</v>
      </c>
      <c r="G67" s="478">
        <f>SUM(C67:F67)</f>
        <v>1.494416392680204</v>
      </c>
    </row>
  </sheetData>
  <mergeCells count="3">
    <mergeCell ref="B3:G3"/>
    <mergeCell ref="C60:F60"/>
    <mergeCell ref="C64:F64"/>
  </mergeCells>
  <printOptions/>
  <pageMargins left="0.75" right="0.75" top="1" bottom="1" header="0.5" footer="0.5"/>
  <pageSetup orientation="portrait" paperSize="9" r:id="rId1"/>
  <ignoredErrors>
    <ignoredError sqref="D12:E12" formula="1"/>
  </ignoredErrors>
</worksheet>
</file>

<file path=xl/worksheets/sheet2.xml><?xml version="1.0" encoding="utf-8"?>
<worksheet xmlns="http://schemas.openxmlformats.org/spreadsheetml/2006/main" xmlns:r="http://schemas.openxmlformats.org/officeDocument/2006/relationships">
  <sheetPr>
    <tabColor indexed="45"/>
  </sheetPr>
  <dimension ref="A2:H102"/>
  <sheetViews>
    <sheetView workbookViewId="0" topLeftCell="A9">
      <selection activeCell="C26" sqref="C26"/>
    </sheetView>
  </sheetViews>
  <sheetFormatPr defaultColWidth="9.140625" defaultRowHeight="12.75"/>
  <cols>
    <col min="1" max="1" width="1.7109375" style="56" customWidth="1"/>
    <col min="2" max="2" width="49.8515625" style="56" customWidth="1"/>
    <col min="3" max="3" width="25.8515625" style="56" customWidth="1"/>
    <col min="4" max="4" width="18.140625" style="56" customWidth="1"/>
    <col min="5" max="6" width="5.7109375" style="56" customWidth="1"/>
    <col min="7" max="7" width="9.140625" style="56" customWidth="1"/>
    <col min="8" max="8" width="10.57421875" style="56" customWidth="1"/>
    <col min="9" max="16384" width="9.140625" style="56" customWidth="1"/>
  </cols>
  <sheetData>
    <row r="1" ht="4.5" customHeight="1"/>
    <row r="2" spans="2:6" ht="12.75">
      <c r="B2" s="546"/>
      <c r="C2" s="547"/>
      <c r="D2" s="547"/>
      <c r="E2" s="547"/>
      <c r="F2" s="548"/>
    </row>
    <row r="3" spans="2:6" ht="12.75">
      <c r="B3" s="549" t="s">
        <v>44</v>
      </c>
      <c r="C3" s="550"/>
      <c r="D3" s="550"/>
      <c r="E3" s="550"/>
      <c r="F3" s="551"/>
    </row>
    <row r="4" spans="2:6" ht="12.75">
      <c r="B4" s="552" t="s">
        <v>59</v>
      </c>
      <c r="C4" s="553"/>
      <c r="D4" s="553"/>
      <c r="E4" s="553"/>
      <c r="F4" s="523"/>
    </row>
    <row r="5" spans="2:6" ht="12.75">
      <c r="B5" s="524"/>
      <c r="C5" s="525"/>
      <c r="D5" s="525"/>
      <c r="E5" s="525"/>
      <c r="F5" s="526"/>
    </row>
    <row r="6" ht="13.5" thickBot="1"/>
    <row r="7" spans="2:6" ht="12.75">
      <c r="B7" s="554" t="s">
        <v>17</v>
      </c>
      <c r="C7" s="544" t="s">
        <v>248</v>
      </c>
      <c r="D7" s="542" t="s">
        <v>247</v>
      </c>
      <c r="E7" s="540" t="s">
        <v>14</v>
      </c>
      <c r="F7" s="541"/>
    </row>
    <row r="8" spans="2:6" ht="13.5" thickBot="1">
      <c r="B8" s="555"/>
      <c r="C8" s="545"/>
      <c r="D8" s="543"/>
      <c r="E8" s="310" t="s">
        <v>243</v>
      </c>
      <c r="F8" s="311" t="s">
        <v>244</v>
      </c>
    </row>
    <row r="9" spans="2:6" ht="12.75">
      <c r="B9" s="312" t="s">
        <v>361</v>
      </c>
      <c r="C9" s="313"/>
      <c r="D9" s="314"/>
      <c r="E9" s="315"/>
      <c r="F9" s="314"/>
    </row>
    <row r="10" spans="2:6" ht="12.75">
      <c r="B10" s="338" t="s">
        <v>281</v>
      </c>
      <c r="C10" s="226"/>
      <c r="D10" s="316"/>
      <c r="E10" s="317"/>
      <c r="F10" s="318"/>
    </row>
    <row r="11" spans="2:6" ht="12.75">
      <c r="B11" s="309" t="s">
        <v>41</v>
      </c>
      <c r="C11" s="518">
        <v>150</v>
      </c>
      <c r="D11" s="316"/>
      <c r="E11" s="317"/>
      <c r="F11" s="318"/>
    </row>
    <row r="12" spans="2:6" ht="12.75">
      <c r="B12" s="309" t="s">
        <v>19</v>
      </c>
      <c r="C12" s="518">
        <v>25</v>
      </c>
      <c r="D12" s="316"/>
      <c r="E12" s="317"/>
      <c r="F12" s="318"/>
    </row>
    <row r="13" spans="2:6" ht="12.75">
      <c r="B13" s="338" t="s">
        <v>282</v>
      </c>
      <c r="C13" s="226"/>
      <c r="D13" s="316"/>
      <c r="E13" s="317"/>
      <c r="F13" s="318"/>
    </row>
    <row r="14" spans="2:6" ht="12.75">
      <c r="B14" s="309" t="s">
        <v>126</v>
      </c>
      <c r="C14" s="518">
        <v>3.6</v>
      </c>
      <c r="D14" s="316"/>
      <c r="E14" s="319">
        <v>20</v>
      </c>
      <c r="F14" s="320">
        <v>30</v>
      </c>
    </row>
    <row r="15" spans="2:6" ht="12.75">
      <c r="B15" s="309" t="s">
        <v>13</v>
      </c>
      <c r="C15" s="519">
        <v>45</v>
      </c>
      <c r="D15" s="316"/>
      <c r="E15" s="319">
        <v>27</v>
      </c>
      <c r="F15" s="320">
        <v>34</v>
      </c>
    </row>
    <row r="16" spans="2:8" ht="12.75">
      <c r="B16" s="338" t="s">
        <v>217</v>
      </c>
      <c r="C16" s="321"/>
      <c r="D16" s="316"/>
      <c r="E16" s="319"/>
      <c r="F16" s="320"/>
      <c r="H16" s="56" t="s">
        <v>275</v>
      </c>
    </row>
    <row r="17" spans="1:8" ht="12.75">
      <c r="A17" s="322"/>
      <c r="B17" s="309" t="s">
        <v>73</v>
      </c>
      <c r="C17" s="226">
        <v>5</v>
      </c>
      <c r="D17" s="316"/>
      <c r="E17" s="317"/>
      <c r="F17" s="318"/>
      <c r="H17" s="56" t="s">
        <v>360</v>
      </c>
    </row>
    <row r="18" spans="1:6" ht="25.5">
      <c r="A18" s="322"/>
      <c r="B18" s="257" t="s">
        <v>271</v>
      </c>
      <c r="C18" s="226">
        <v>10</v>
      </c>
      <c r="D18" s="316"/>
      <c r="E18" s="317"/>
      <c r="F18" s="318"/>
    </row>
    <row r="19" spans="2:6" ht="38.25">
      <c r="B19" s="396" t="s">
        <v>283</v>
      </c>
      <c r="C19" s="226">
        <v>2</v>
      </c>
      <c r="D19" s="316"/>
      <c r="E19" s="317"/>
      <c r="F19" s="318"/>
    </row>
    <row r="20" spans="2:6" ht="48" thickBot="1">
      <c r="B20" s="257" t="s">
        <v>362</v>
      </c>
      <c r="C20" s="226"/>
      <c r="D20" s="316"/>
      <c r="E20" s="317"/>
      <c r="F20" s="318"/>
    </row>
    <row r="21" spans="2:6" ht="25.5">
      <c r="B21" s="401" t="s">
        <v>292</v>
      </c>
      <c r="C21" s="256"/>
      <c r="D21" s="324"/>
      <c r="E21" s="325"/>
      <c r="F21" s="326"/>
    </row>
    <row r="22" spans="2:6" ht="19.5" customHeight="1">
      <c r="B22" s="400" t="s">
        <v>207</v>
      </c>
      <c r="C22" s="226">
        <v>1</v>
      </c>
      <c r="D22" s="316"/>
      <c r="E22" s="317"/>
      <c r="F22" s="318"/>
    </row>
    <row r="23" spans="2:8" ht="14.25">
      <c r="B23" s="224" t="s">
        <v>235</v>
      </c>
      <c r="C23" s="518">
        <v>7</v>
      </c>
      <c r="D23" s="316"/>
      <c r="E23" s="317"/>
      <c r="F23" s="318"/>
      <c r="H23" s="323" t="s">
        <v>208</v>
      </c>
    </row>
    <row r="24" spans="2:8" ht="12.75">
      <c r="B24" s="309" t="s">
        <v>294</v>
      </c>
      <c r="C24" s="520">
        <v>1.6</v>
      </c>
      <c r="D24" s="316"/>
      <c r="E24" s="317"/>
      <c r="F24" s="318"/>
      <c r="H24" s="323" t="s">
        <v>209</v>
      </c>
    </row>
    <row r="25" spans="1:6" ht="12.75">
      <c r="A25" s="322"/>
      <c r="B25" s="309" t="s">
        <v>240</v>
      </c>
      <c r="C25" s="226">
        <v>55</v>
      </c>
      <c r="D25" s="316" t="s">
        <v>246</v>
      </c>
      <c r="E25" s="317"/>
      <c r="F25" s="318"/>
    </row>
    <row r="26" spans="2:6" ht="25.5">
      <c r="B26" s="257" t="s">
        <v>272</v>
      </c>
      <c r="C26" s="527">
        <v>200</v>
      </c>
      <c r="D26" s="316"/>
      <c r="E26" s="317"/>
      <c r="F26" s="318"/>
    </row>
    <row r="27" spans="2:6" ht="12.75">
      <c r="B27" s="309" t="s">
        <v>170</v>
      </c>
      <c r="C27" s="327">
        <v>1</v>
      </c>
      <c r="D27" s="316"/>
      <c r="E27" s="317"/>
      <c r="F27" s="318"/>
    </row>
    <row r="28" spans="1:6" ht="14.25">
      <c r="A28" s="322"/>
      <c r="B28" s="309" t="s">
        <v>378</v>
      </c>
      <c r="C28" s="520">
        <v>0.6</v>
      </c>
      <c r="D28" s="316"/>
      <c r="E28" s="317"/>
      <c r="F28" s="318"/>
    </row>
    <row r="29" spans="1:6" ht="13.5" thickBot="1">
      <c r="A29" s="322"/>
      <c r="B29" s="309" t="s">
        <v>171</v>
      </c>
      <c r="C29" s="328">
        <v>4</v>
      </c>
      <c r="D29" s="316"/>
      <c r="E29" s="317"/>
      <c r="F29" s="318"/>
    </row>
    <row r="30" spans="2:6" ht="12.75">
      <c r="B30" s="401" t="s">
        <v>308</v>
      </c>
      <c r="C30" s="256"/>
      <c r="D30" s="324"/>
      <c r="E30" s="325"/>
      <c r="F30" s="326"/>
    </row>
    <row r="31" spans="1:6" ht="25.5">
      <c r="A31" s="322"/>
      <c r="B31" s="257" t="s">
        <v>316</v>
      </c>
      <c r="C31" s="226">
        <v>10</v>
      </c>
      <c r="D31" s="316"/>
      <c r="E31" s="317"/>
      <c r="F31" s="318"/>
    </row>
    <row r="32" spans="1:6" ht="29.25" thickBot="1">
      <c r="A32" s="322"/>
      <c r="B32" s="257" t="s">
        <v>307</v>
      </c>
      <c r="C32" s="226">
        <v>0.25</v>
      </c>
      <c r="D32" s="316"/>
      <c r="E32" s="319">
        <v>0.12</v>
      </c>
      <c r="F32" s="320">
        <v>0.31</v>
      </c>
    </row>
    <row r="33" spans="2:6" ht="12.75">
      <c r="B33" s="312" t="s">
        <v>346</v>
      </c>
      <c r="C33" s="313"/>
      <c r="D33" s="324"/>
      <c r="E33" s="325"/>
      <c r="F33" s="326"/>
    </row>
    <row r="34" spans="2:6" ht="12.75">
      <c r="B34" s="341" t="s">
        <v>122</v>
      </c>
      <c r="C34" s="518">
        <v>0</v>
      </c>
      <c r="D34" s="316"/>
      <c r="E34" s="319"/>
      <c r="F34" s="320"/>
    </row>
    <row r="35" spans="2:6" ht="15" thickBot="1">
      <c r="B35" s="309" t="s">
        <v>293</v>
      </c>
      <c r="C35" s="520">
        <v>0</v>
      </c>
      <c r="D35" s="316"/>
      <c r="E35" s="319"/>
      <c r="F35" s="320"/>
    </row>
    <row r="36" spans="2:6" ht="12.75">
      <c r="B36" s="312" t="s">
        <v>273</v>
      </c>
      <c r="C36" s="256"/>
      <c r="D36" s="324"/>
      <c r="E36" s="325"/>
      <c r="F36" s="326"/>
    </row>
    <row r="37" spans="1:6" ht="15.75">
      <c r="A37" s="322"/>
      <c r="B37" s="309" t="s">
        <v>49</v>
      </c>
      <c r="C37" s="226">
        <v>0.86</v>
      </c>
      <c r="D37" s="316"/>
      <c r="E37" s="317"/>
      <c r="F37" s="318"/>
    </row>
    <row r="38" spans="1:6" ht="15.75">
      <c r="A38" s="322"/>
      <c r="B38" s="309" t="s">
        <v>50</v>
      </c>
      <c r="C38" s="226">
        <v>0.43</v>
      </c>
      <c r="D38" s="316"/>
      <c r="E38" s="317"/>
      <c r="F38" s="318"/>
    </row>
    <row r="39" spans="1:6" ht="16.5" thickBot="1">
      <c r="A39" s="322"/>
      <c r="B39" s="329" t="s">
        <v>130</v>
      </c>
      <c r="C39" s="198">
        <v>0.607</v>
      </c>
      <c r="D39" s="330"/>
      <c r="E39" s="331"/>
      <c r="F39" s="332"/>
    </row>
    <row r="40" spans="2:6" ht="12.75">
      <c r="B40" s="333" t="s">
        <v>45</v>
      </c>
      <c r="C40" s="334"/>
      <c r="D40" s="335"/>
      <c r="E40" s="336"/>
      <c r="F40" s="337"/>
    </row>
    <row r="41" spans="2:6" ht="12.75">
      <c r="B41" s="309" t="s">
        <v>42</v>
      </c>
      <c r="C41" s="518">
        <v>14</v>
      </c>
      <c r="D41" s="316"/>
      <c r="E41" s="317"/>
      <c r="F41" s="318"/>
    </row>
    <row r="42" spans="2:6" ht="12.75">
      <c r="B42" s="309" t="s">
        <v>85</v>
      </c>
      <c r="C42" s="518">
        <v>97</v>
      </c>
      <c r="D42" s="316"/>
      <c r="E42" s="317"/>
      <c r="F42" s="318"/>
    </row>
    <row r="43" spans="2:6" ht="12.75">
      <c r="B43" s="309" t="s">
        <v>86</v>
      </c>
      <c r="C43" s="518">
        <v>126</v>
      </c>
      <c r="D43" s="316"/>
      <c r="E43" s="317"/>
      <c r="F43" s="318"/>
    </row>
    <row r="44" spans="2:6" ht="13.5" thickBot="1">
      <c r="B44" s="329" t="s">
        <v>87</v>
      </c>
      <c r="C44" s="521">
        <v>1.6</v>
      </c>
      <c r="D44" s="330"/>
      <c r="E44" s="331"/>
      <c r="F44" s="332"/>
    </row>
    <row r="45" spans="2:6" ht="12.75">
      <c r="B45" s="312" t="s">
        <v>46</v>
      </c>
      <c r="C45" s="256"/>
      <c r="D45" s="335"/>
      <c r="E45" s="336"/>
      <c r="F45" s="337"/>
    </row>
    <row r="46" spans="2:6" ht="12.75">
      <c r="B46" s="309" t="s">
        <v>90</v>
      </c>
      <c r="C46" s="518">
        <v>25</v>
      </c>
      <c r="D46" s="316"/>
      <c r="E46" s="317"/>
      <c r="F46" s="318"/>
    </row>
    <row r="47" spans="2:6" ht="12.75">
      <c r="B47" s="309" t="s">
        <v>91</v>
      </c>
      <c r="C47" s="518">
        <v>25</v>
      </c>
      <c r="D47" s="316"/>
      <c r="E47" s="317"/>
      <c r="F47" s="318"/>
    </row>
    <row r="48" spans="2:6" ht="26.25" thickBot="1">
      <c r="B48" s="257" t="s">
        <v>92</v>
      </c>
      <c r="C48" s="522">
        <v>1.6</v>
      </c>
      <c r="D48" s="316"/>
      <c r="E48" s="317"/>
      <c r="F48" s="318"/>
    </row>
    <row r="49" spans="2:6" ht="12.75">
      <c r="B49" s="312" t="s">
        <v>96</v>
      </c>
      <c r="C49" s="256"/>
      <c r="D49" s="324"/>
      <c r="E49" s="325"/>
      <c r="F49" s="326"/>
    </row>
    <row r="50" spans="2:6" ht="12.75">
      <c r="B50" s="309" t="s">
        <v>95</v>
      </c>
      <c r="C50" s="518">
        <v>43.06</v>
      </c>
      <c r="D50" s="316"/>
      <c r="E50" s="317"/>
      <c r="F50" s="318"/>
    </row>
    <row r="51" spans="2:6" ht="12.75">
      <c r="B51" s="309" t="s">
        <v>94</v>
      </c>
      <c r="C51" s="518">
        <v>43.06</v>
      </c>
      <c r="D51" s="316"/>
      <c r="E51" s="317"/>
      <c r="F51" s="318"/>
    </row>
    <row r="52" spans="2:6" ht="13.5" thickBot="1">
      <c r="B52" s="309" t="s">
        <v>93</v>
      </c>
      <c r="C52" s="522">
        <v>1.6</v>
      </c>
      <c r="D52" s="316"/>
      <c r="E52" s="317"/>
      <c r="F52" s="318"/>
    </row>
    <row r="53" spans="2:6" ht="12.75">
      <c r="B53" s="312" t="s">
        <v>47</v>
      </c>
      <c r="C53" s="256"/>
      <c r="D53" s="324"/>
      <c r="E53" s="325"/>
      <c r="F53" s="326"/>
    </row>
    <row r="54" spans="2:6" ht="12.75">
      <c r="B54" s="309" t="s">
        <v>51</v>
      </c>
      <c r="C54" s="518">
        <v>117520</v>
      </c>
      <c r="D54" s="316"/>
      <c r="E54" s="317"/>
      <c r="F54" s="318"/>
    </row>
    <row r="55" spans="2:6" ht="12.75">
      <c r="B55" s="309" t="s">
        <v>48</v>
      </c>
      <c r="C55" s="518">
        <v>0</v>
      </c>
      <c r="D55" s="316"/>
      <c r="E55" s="317"/>
      <c r="F55" s="318"/>
    </row>
    <row r="56" spans="2:6" ht="12.75">
      <c r="B56" s="338" t="s">
        <v>56</v>
      </c>
      <c r="C56" s="518">
        <v>86010</v>
      </c>
      <c r="D56" s="316"/>
      <c r="E56" s="317"/>
      <c r="F56" s="318"/>
    </row>
    <row r="57" spans="2:6" ht="12.75">
      <c r="B57" s="309" t="s">
        <v>52</v>
      </c>
      <c r="C57" s="518">
        <v>9.25</v>
      </c>
      <c r="D57" s="316"/>
      <c r="E57" s="317"/>
      <c r="F57" s="318"/>
    </row>
    <row r="58" spans="2:6" ht="12.75">
      <c r="B58" s="309" t="s">
        <v>53</v>
      </c>
      <c r="C58" s="226">
        <v>0.5</v>
      </c>
      <c r="D58" s="316"/>
      <c r="E58" s="317"/>
      <c r="F58" s="318"/>
    </row>
    <row r="59" spans="2:6" ht="12.75">
      <c r="B59" s="309" t="s">
        <v>115</v>
      </c>
      <c r="C59" s="518">
        <v>86010</v>
      </c>
      <c r="D59" s="316"/>
      <c r="E59" s="317"/>
      <c r="F59" s="318"/>
    </row>
    <row r="60" spans="2:6" ht="12.75">
      <c r="B60" s="309" t="s">
        <v>168</v>
      </c>
      <c r="C60" s="518">
        <v>1</v>
      </c>
      <c r="D60" s="316"/>
      <c r="E60" s="317"/>
      <c r="F60" s="318"/>
    </row>
    <row r="61" spans="2:6" ht="12.75">
      <c r="B61" s="338" t="s">
        <v>57</v>
      </c>
      <c r="C61" s="518">
        <v>31510</v>
      </c>
      <c r="D61" s="316"/>
      <c r="E61" s="317"/>
      <c r="F61" s="318"/>
    </row>
    <row r="62" spans="2:6" ht="12.75">
      <c r="B62" s="309" t="s">
        <v>55</v>
      </c>
      <c r="C62" s="518">
        <v>9.25</v>
      </c>
      <c r="D62" s="316"/>
      <c r="E62" s="317"/>
      <c r="F62" s="318"/>
    </row>
    <row r="63" spans="2:6" ht="12.75">
      <c r="B63" s="309" t="s">
        <v>54</v>
      </c>
      <c r="C63" s="518">
        <v>1</v>
      </c>
      <c r="D63" s="316"/>
      <c r="E63" s="317"/>
      <c r="F63" s="318"/>
    </row>
    <row r="64" spans="2:6" ht="12.75">
      <c r="B64" s="338" t="s">
        <v>58</v>
      </c>
      <c r="C64" s="226">
        <v>0</v>
      </c>
      <c r="D64" s="316"/>
      <c r="E64" s="317"/>
      <c r="F64" s="318"/>
    </row>
    <row r="65" spans="2:6" ht="12.75">
      <c r="B65" s="309" t="s">
        <v>116</v>
      </c>
      <c r="C65" s="226">
        <v>0</v>
      </c>
      <c r="D65" s="316"/>
      <c r="E65" s="317"/>
      <c r="F65" s="318"/>
    </row>
    <row r="66" spans="2:6" ht="12.75">
      <c r="B66" s="309" t="s">
        <v>117</v>
      </c>
      <c r="C66" s="226">
        <v>0</v>
      </c>
      <c r="D66" s="316"/>
      <c r="E66" s="317"/>
      <c r="F66" s="318"/>
    </row>
    <row r="67" spans="2:6" ht="12.75">
      <c r="B67" s="309" t="s">
        <v>118</v>
      </c>
      <c r="C67" s="226">
        <v>0</v>
      </c>
      <c r="D67" s="316"/>
      <c r="E67" s="317"/>
      <c r="F67" s="318"/>
    </row>
    <row r="68" spans="2:6" ht="26.25" thickBot="1">
      <c r="B68" s="257" t="s">
        <v>169</v>
      </c>
      <c r="C68" s="226">
        <v>0</v>
      </c>
      <c r="D68" s="316"/>
      <c r="E68" s="317"/>
      <c r="F68" s="318"/>
    </row>
    <row r="69" spans="2:6" ht="12.75">
      <c r="B69" s="312" t="s">
        <v>380</v>
      </c>
      <c r="C69" s="256"/>
      <c r="D69" s="324"/>
      <c r="E69" s="325"/>
      <c r="F69" s="326"/>
    </row>
    <row r="70" spans="2:6" s="279" customFormat="1" ht="28.5" customHeight="1">
      <c r="B70" s="483" t="s">
        <v>381</v>
      </c>
      <c r="C70" s="518">
        <v>11752</v>
      </c>
      <c r="D70" s="316"/>
      <c r="E70" s="317"/>
      <c r="F70" s="318"/>
    </row>
    <row r="71" spans="2:6" ht="13.5" thickBot="1">
      <c r="B71" s="257" t="s">
        <v>382</v>
      </c>
      <c r="C71" s="328">
        <v>1</v>
      </c>
      <c r="D71" s="316"/>
      <c r="E71" s="317"/>
      <c r="F71" s="318"/>
    </row>
    <row r="72" spans="2:6" ht="12.75">
      <c r="B72" s="312" t="s">
        <v>133</v>
      </c>
      <c r="C72" s="397"/>
      <c r="D72" s="339"/>
      <c r="E72" s="340"/>
      <c r="F72" s="347"/>
    </row>
    <row r="73" spans="2:6" ht="39" thickBot="1">
      <c r="B73" s="482" t="s">
        <v>359</v>
      </c>
      <c r="C73" s="198">
        <v>0</v>
      </c>
      <c r="D73" s="344"/>
      <c r="E73" s="345"/>
      <c r="F73" s="164"/>
    </row>
    <row r="74" spans="2:6" ht="25.5">
      <c r="B74" s="349" t="s">
        <v>288</v>
      </c>
      <c r="C74" s="346"/>
      <c r="D74" s="339"/>
      <c r="E74" s="340"/>
      <c r="F74" s="347"/>
    </row>
    <row r="75" spans="2:6" ht="12.75">
      <c r="B75" s="398" t="s">
        <v>284</v>
      </c>
      <c r="C75" s="226"/>
      <c r="D75" s="342"/>
      <c r="E75" s="343"/>
      <c r="F75" s="348"/>
    </row>
    <row r="76" spans="2:6" ht="12.75">
      <c r="B76" s="257" t="s">
        <v>291</v>
      </c>
      <c r="C76" s="518">
        <v>394</v>
      </c>
      <c r="D76" s="342"/>
      <c r="E76" s="343"/>
      <c r="F76" s="348"/>
    </row>
    <row r="77" spans="2:6" ht="14.25" customHeight="1">
      <c r="B77" s="257" t="s">
        <v>286</v>
      </c>
      <c r="C77" s="520">
        <v>1</v>
      </c>
      <c r="D77" s="342"/>
      <c r="E77" s="343"/>
      <c r="F77" s="348"/>
    </row>
    <row r="78" spans="2:6" ht="14.25" customHeight="1">
      <c r="B78" s="257" t="s">
        <v>287</v>
      </c>
      <c r="C78" s="520">
        <v>1</v>
      </c>
      <c r="D78" s="342"/>
      <c r="E78" s="343"/>
      <c r="F78" s="348"/>
    </row>
    <row r="79" spans="2:8" ht="25.5">
      <c r="B79" s="257" t="s">
        <v>285</v>
      </c>
      <c r="C79" s="226">
        <v>10</v>
      </c>
      <c r="D79" s="342"/>
      <c r="E79" s="343"/>
      <c r="F79" s="348"/>
      <c r="H79" s="323"/>
    </row>
    <row r="80" spans="2:8" ht="12.75">
      <c r="B80" s="398" t="s">
        <v>289</v>
      </c>
      <c r="C80" s="226"/>
      <c r="D80" s="342"/>
      <c r="E80" s="343"/>
      <c r="F80" s="348"/>
      <c r="H80" s="323"/>
    </row>
    <row r="81" spans="2:8" ht="12.75">
      <c r="B81" s="399" t="s">
        <v>290</v>
      </c>
      <c r="C81" s="518">
        <v>0</v>
      </c>
      <c r="D81" s="342"/>
      <c r="E81" s="343"/>
      <c r="F81" s="348"/>
      <c r="H81" s="323"/>
    </row>
    <row r="82" spans="2:8" ht="12.75">
      <c r="B82" s="257" t="s">
        <v>295</v>
      </c>
      <c r="C82" s="520">
        <v>0</v>
      </c>
      <c r="D82" s="342"/>
      <c r="E82" s="343"/>
      <c r="F82" s="348"/>
      <c r="H82" s="323"/>
    </row>
    <row r="83" spans="2:8" ht="12.75">
      <c r="B83" s="257" t="s">
        <v>296</v>
      </c>
      <c r="C83" s="327">
        <v>0</v>
      </c>
      <c r="D83" s="342"/>
      <c r="E83" s="343"/>
      <c r="F83" s="348"/>
      <c r="H83" s="323"/>
    </row>
    <row r="84" spans="2:8" ht="25.5">
      <c r="B84" s="257" t="s">
        <v>297</v>
      </c>
      <c r="C84" s="226">
        <v>10</v>
      </c>
      <c r="D84" s="342"/>
      <c r="E84" s="343"/>
      <c r="F84" s="348"/>
      <c r="H84" s="323"/>
    </row>
    <row r="85" spans="2:8" ht="12.75">
      <c r="B85" s="398" t="s">
        <v>352</v>
      </c>
      <c r="C85" s="226"/>
      <c r="D85" s="342"/>
      <c r="E85" s="343"/>
      <c r="F85" s="348"/>
      <c r="H85" s="323"/>
    </row>
    <row r="86" spans="2:8" ht="12.75">
      <c r="B86" s="399" t="s">
        <v>353</v>
      </c>
      <c r="C86" s="518">
        <v>15.19</v>
      </c>
      <c r="D86" s="342"/>
      <c r="E86" s="343"/>
      <c r="F86" s="348"/>
      <c r="H86" s="323"/>
    </row>
    <row r="87" spans="2:8" ht="12.75">
      <c r="B87" s="257" t="s">
        <v>354</v>
      </c>
      <c r="C87" s="327">
        <v>1</v>
      </c>
      <c r="D87" s="342"/>
      <c r="E87" s="343"/>
      <c r="F87" s="348"/>
      <c r="H87" s="323"/>
    </row>
    <row r="88" spans="2:8" ht="25.5">
      <c r="B88" s="257" t="s">
        <v>355</v>
      </c>
      <c r="C88" s="226">
        <v>10</v>
      </c>
      <c r="D88" s="342"/>
      <c r="E88" s="343"/>
      <c r="F88" s="348"/>
      <c r="H88" s="323"/>
    </row>
    <row r="89" spans="2:8" ht="12.75">
      <c r="B89" s="398" t="s">
        <v>398</v>
      </c>
      <c r="C89" s="226"/>
      <c r="D89" s="342"/>
      <c r="E89" s="343"/>
      <c r="F89" s="348"/>
      <c r="H89" s="323"/>
    </row>
    <row r="90" spans="2:8" ht="25.5">
      <c r="B90" s="257" t="s">
        <v>399</v>
      </c>
      <c r="C90" s="518">
        <v>1</v>
      </c>
      <c r="D90" s="342"/>
      <c r="E90" s="343"/>
      <c r="F90" s="348"/>
      <c r="H90" s="323"/>
    </row>
    <row r="91" spans="2:8" ht="26.25" thickBot="1">
      <c r="B91" s="494" t="s">
        <v>379</v>
      </c>
      <c r="C91" s="226">
        <v>25</v>
      </c>
      <c r="D91" s="342"/>
      <c r="E91" s="343"/>
      <c r="F91" s="348"/>
      <c r="H91" s="323"/>
    </row>
    <row r="92" spans="2:8" ht="12.75">
      <c r="B92" s="349" t="s">
        <v>298</v>
      </c>
      <c r="C92" s="256"/>
      <c r="D92" s="339"/>
      <c r="E92" s="340"/>
      <c r="F92" s="347"/>
      <c r="H92" s="323"/>
    </row>
    <row r="93" spans="2:8" ht="25.5">
      <c r="B93" s="257" t="s">
        <v>300</v>
      </c>
      <c r="C93" s="226">
        <v>2</v>
      </c>
      <c r="D93" s="342"/>
      <c r="E93" s="343"/>
      <c r="F93" s="348"/>
      <c r="H93" s="56" t="s">
        <v>221</v>
      </c>
    </row>
    <row r="94" spans="2:8" ht="26.25" thickBot="1">
      <c r="B94" s="255" t="s">
        <v>299</v>
      </c>
      <c r="C94" s="198">
        <v>2</v>
      </c>
      <c r="D94" s="344"/>
      <c r="E94" s="345"/>
      <c r="F94" s="164"/>
      <c r="H94" s="56" t="s">
        <v>220</v>
      </c>
    </row>
    <row r="95" spans="2:8" ht="13.5" thickBot="1">
      <c r="B95" s="350"/>
      <c r="H95" s="323" t="s">
        <v>252</v>
      </c>
    </row>
    <row r="96" spans="2:8" ht="26.25" thickBot="1">
      <c r="B96" s="389" t="s">
        <v>204</v>
      </c>
      <c r="C96" s="351">
        <v>2</v>
      </c>
      <c r="H96" s="323" t="s">
        <v>245</v>
      </c>
    </row>
    <row r="97" ht="12.75"/>
    <row r="98" ht="12.75">
      <c r="C98" s="352"/>
    </row>
    <row r="99" spans="2:3" ht="12.75">
      <c r="B99" s="350"/>
      <c r="C99" s="353"/>
    </row>
    <row r="100" spans="3:8" ht="12.75">
      <c r="C100" s="354"/>
      <c r="H100" s="355"/>
    </row>
    <row r="102" spans="2:3" ht="12.75">
      <c r="B102" s="350"/>
      <c r="C102" s="352"/>
    </row>
  </sheetData>
  <mergeCells count="8">
    <mergeCell ref="E7:F7"/>
    <mergeCell ref="D7:D8"/>
    <mergeCell ref="C7:C8"/>
    <mergeCell ref="B2:F2"/>
    <mergeCell ref="B3:F3"/>
    <mergeCell ref="B4:F4"/>
    <mergeCell ref="B5:F5"/>
    <mergeCell ref="B7:B8"/>
  </mergeCells>
  <hyperlinks>
    <hyperlink ref="B73" r:id="rId1" display="Weblink: Peat Landslide Hazard and Risk Assessments: Best Practice Guide for Proposed Electricity Generation Developments"/>
  </hyperlinks>
  <printOptions/>
  <pageMargins left="0.75" right="0.75" top="1" bottom="1" header="0.5" footer="0.5"/>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sheetPr>
    <tabColor indexed="13"/>
  </sheetPr>
  <dimension ref="B2:L60"/>
  <sheetViews>
    <sheetView tabSelected="1" workbookViewId="0" topLeftCell="A19">
      <selection activeCell="E31" sqref="E31:G31"/>
    </sheetView>
  </sheetViews>
  <sheetFormatPr defaultColWidth="9.140625" defaultRowHeight="12.75"/>
  <cols>
    <col min="1" max="1" width="2.8515625" style="24" customWidth="1"/>
    <col min="2" max="2" width="37.28125" style="24" customWidth="1"/>
    <col min="3" max="3" width="15.57421875" style="24" customWidth="1"/>
    <col min="4" max="4" width="14.7109375" style="24" customWidth="1"/>
    <col min="5" max="5" width="16.421875" style="24" customWidth="1"/>
    <col min="6" max="6" width="16.28125" style="24" customWidth="1"/>
    <col min="7" max="7" width="14.7109375" style="24" customWidth="1"/>
    <col min="8" max="8" width="16.28125" style="24" customWidth="1"/>
    <col min="9" max="9" width="16.57421875" style="24" customWidth="1"/>
    <col min="10" max="10" width="20.8515625" style="24" bestFit="1" customWidth="1"/>
    <col min="11" max="16384" width="9.140625" style="24" customWidth="1"/>
  </cols>
  <sheetData>
    <row r="1" ht="4.5" customHeight="1"/>
    <row r="2" spans="2:9" ht="12.75">
      <c r="B2" s="558"/>
      <c r="C2" s="559"/>
      <c r="D2" s="559"/>
      <c r="E2" s="559"/>
      <c r="F2" s="559"/>
      <c r="G2" s="559"/>
      <c r="H2" s="559"/>
      <c r="I2" s="560"/>
    </row>
    <row r="3" spans="2:9" ht="12.75">
      <c r="B3" s="31" t="s">
        <v>21</v>
      </c>
      <c r="C3" s="32"/>
      <c r="D3" s="32"/>
      <c r="E3" s="32"/>
      <c r="F3" s="32"/>
      <c r="G3" s="32"/>
      <c r="H3" s="32"/>
      <c r="I3" s="33"/>
    </row>
    <row r="4" spans="2:9" ht="12.75">
      <c r="B4" s="31" t="s">
        <v>18</v>
      </c>
      <c r="C4" s="32"/>
      <c r="D4" s="32"/>
      <c r="E4" s="32"/>
      <c r="F4" s="32"/>
      <c r="G4" s="32"/>
      <c r="H4" s="32"/>
      <c r="I4" s="33"/>
    </row>
    <row r="5" spans="2:9" ht="12.75">
      <c r="B5" s="561"/>
      <c r="C5" s="562"/>
      <c r="D5" s="562"/>
      <c r="E5" s="562"/>
      <c r="F5" s="562"/>
      <c r="G5" s="562"/>
      <c r="H5" s="562"/>
      <c r="I5" s="563"/>
    </row>
    <row r="6" spans="2:9" ht="18.75" customHeight="1">
      <c r="B6" s="564" t="s">
        <v>364</v>
      </c>
      <c r="C6" s="564"/>
      <c r="D6" s="29"/>
      <c r="E6" s="29"/>
      <c r="F6" s="29"/>
      <c r="G6" s="29"/>
      <c r="H6" s="29"/>
      <c r="I6" s="29"/>
    </row>
    <row r="7" spans="2:3" ht="28.5">
      <c r="B7" s="3"/>
      <c r="C7" s="151" t="s">
        <v>60</v>
      </c>
    </row>
    <row r="8" spans="2:3" ht="12.75">
      <c r="B8" s="3" t="str">
        <f>'1. Windfarm CO2 emission saving'!B20</f>
        <v>         …coal-fired electricity generation</v>
      </c>
      <c r="C8" s="142">
        <f>'1. Windfarm CO2 emission saving'!C20</f>
        <v>1830664.8</v>
      </c>
    </row>
    <row r="9" spans="2:5" ht="12.75">
      <c r="B9" s="5" t="str">
        <f>'1. Windfarm CO2 emission saving'!B21</f>
        <v>         …grid-mix of electricity generation</v>
      </c>
      <c r="C9" s="124">
        <f>'1. Windfarm CO2 emission saving'!C21</f>
        <v>915332.4</v>
      </c>
      <c r="E9" s="243"/>
    </row>
    <row r="10" spans="2:3" ht="12.75">
      <c r="B10" s="7" t="s">
        <v>147</v>
      </c>
      <c r="C10" s="123">
        <f>'1. Windfarm CO2 emission saving'!$C$22</f>
        <v>1292108.76</v>
      </c>
    </row>
    <row r="11" spans="2:3" ht="19.5" customHeight="1">
      <c r="B11" s="556" t="s">
        <v>365</v>
      </c>
      <c r="C11" s="556"/>
    </row>
    <row r="12" spans="2:8" ht="15.75">
      <c r="B12" s="30"/>
      <c r="C12" s="565" t="s">
        <v>405</v>
      </c>
      <c r="D12" s="566"/>
      <c r="E12" s="567"/>
      <c r="F12" s="568" t="s">
        <v>148</v>
      </c>
      <c r="G12" s="566"/>
      <c r="H12" s="569"/>
    </row>
    <row r="13" spans="2:8" ht="42.75" customHeight="1">
      <c r="B13" s="81"/>
      <c r="C13" s="152" t="s">
        <v>77</v>
      </c>
      <c r="D13" s="244" t="s">
        <v>78</v>
      </c>
      <c r="E13" s="236" t="s">
        <v>147</v>
      </c>
      <c r="F13" s="173" t="s">
        <v>77</v>
      </c>
      <c r="G13" s="244" t="s">
        <v>78</v>
      </c>
      <c r="H13" s="240" t="s">
        <v>147</v>
      </c>
    </row>
    <row r="14" spans="2:12" ht="30" customHeight="1">
      <c r="B14" s="168" t="s">
        <v>142</v>
      </c>
      <c r="C14" s="47">
        <f>'2. CO2 loss due to turbine life'!C16</f>
        <v>175140.00000000003</v>
      </c>
      <c r="D14" s="245">
        <f>'2. CO2 loss due to turbine life'!C16</f>
        <v>175140.00000000003</v>
      </c>
      <c r="E14" s="237">
        <f>'2. CO2 loss due to turbine life'!$C$16</f>
        <v>175140.00000000003</v>
      </c>
      <c r="F14" s="195">
        <f aca="true" t="shared" si="0" ref="F14:F19">12*C14/$C$8</f>
        <v>1.1480419572168539</v>
      </c>
      <c r="G14" s="248">
        <f aca="true" t="shared" si="1" ref="G14:G19">12*D14/$C$9</f>
        <v>2.2960839144337077</v>
      </c>
      <c r="H14" s="241">
        <f aca="true" t="shared" si="2" ref="H14:H19">12*E14/$C$10</f>
        <v>1.6265503841952131</v>
      </c>
      <c r="I14" s="352"/>
      <c r="J14" s="387"/>
      <c r="K14" s="388"/>
      <c r="L14" s="388"/>
    </row>
    <row r="15" spans="2:12" ht="15.75" customHeight="1">
      <c r="B15" s="169" t="s">
        <v>143</v>
      </c>
      <c r="C15" s="47">
        <f>'3. CO2 loss due to backup'!C27</f>
        <v>358919.1</v>
      </c>
      <c r="D15" s="246">
        <f>'3. CO2 loss due to backup'!C27</f>
        <v>358919.1</v>
      </c>
      <c r="E15" s="238">
        <f>'3. CO2 loss due to backup'!$C$27</f>
        <v>358919.1</v>
      </c>
      <c r="F15" s="174">
        <f t="shared" si="0"/>
        <v>2.3527131782945734</v>
      </c>
      <c r="G15" s="249">
        <f t="shared" si="1"/>
        <v>4.705426356589147</v>
      </c>
      <c r="H15" s="241">
        <f t="shared" si="2"/>
        <v>3.3333333333333326</v>
      </c>
      <c r="I15" s="352"/>
      <c r="J15" s="387"/>
      <c r="K15" s="388"/>
      <c r="L15" s="388"/>
    </row>
    <row r="16" spans="2:12" ht="25.5">
      <c r="B16" s="169" t="s">
        <v>144</v>
      </c>
      <c r="C16" s="47">
        <f>'4. Loss of CO2 fixing pot.'!C20</f>
        <v>1781331.17023022</v>
      </c>
      <c r="D16" s="246">
        <f>'4. Loss of CO2 fixing pot.'!C20</f>
        <v>1781331.17023022</v>
      </c>
      <c r="E16" s="359">
        <f>'4. Loss of CO2 fixing pot.'!C20</f>
        <v>1781331.17023022</v>
      </c>
      <c r="F16" s="174">
        <f t="shared" si="0"/>
        <v>11.676618266087074</v>
      </c>
      <c r="G16" s="249">
        <f t="shared" si="1"/>
        <v>23.353236532174147</v>
      </c>
      <c r="H16" s="241">
        <f t="shared" si="2"/>
        <v>16.543478927240336</v>
      </c>
      <c r="I16" s="352"/>
      <c r="J16" s="387"/>
      <c r="K16" s="388"/>
      <c r="L16" s="388"/>
    </row>
    <row r="17" spans="2:12" ht="15.75" customHeight="1">
      <c r="B17" s="169" t="s">
        <v>145</v>
      </c>
      <c r="C17" s="47">
        <f>'5. Loss of soil CO2'!C9</f>
        <v>53236347.8302195</v>
      </c>
      <c r="D17" s="246">
        <f>'5. Loss of soil CO2'!C9</f>
        <v>53236347.8302195</v>
      </c>
      <c r="E17" s="238">
        <f>'5. Loss of soil CO2'!C9</f>
        <v>53236347.8302195</v>
      </c>
      <c r="F17" s="174">
        <f t="shared" si="0"/>
        <v>348.96403424735865</v>
      </c>
      <c r="G17" s="249">
        <f t="shared" si="1"/>
        <v>697.9280684947173</v>
      </c>
      <c r="H17" s="241">
        <f t="shared" si="2"/>
        <v>494.413623480607</v>
      </c>
      <c r="I17" s="352"/>
      <c r="J17" s="387"/>
      <c r="K17" s="388"/>
      <c r="L17" s="388"/>
    </row>
    <row r="18" spans="2:12" ht="15.75" customHeight="1">
      <c r="B18" s="169" t="s">
        <v>394</v>
      </c>
      <c r="C18" s="47">
        <f>'6. CO2 loss by DOC &amp; POC loss'!C23</f>
        <v>6567983.294367429</v>
      </c>
      <c r="D18" s="246">
        <f>'6. CO2 loss by DOC &amp; POC loss'!C23</f>
        <v>6567983.294367429</v>
      </c>
      <c r="E18" s="238">
        <f>'6. CO2 loss by DOC &amp; POC loss'!C23</f>
        <v>6567983.294367429</v>
      </c>
      <c r="F18" s="174">
        <f>12*C18/$C$8</f>
        <v>43.05310263922109</v>
      </c>
      <c r="G18" s="249">
        <f>12*D18/$C$9</f>
        <v>86.10620527844218</v>
      </c>
      <c r="H18" s="241">
        <f>12*E18/$C$10</f>
        <v>60.997806045683916</v>
      </c>
      <c r="I18" s="352"/>
      <c r="J18" s="387"/>
      <c r="K18" s="388"/>
      <c r="L18" s="388"/>
    </row>
    <row r="19" spans="2:12" ht="15.75" customHeight="1">
      <c r="B19" s="441" t="s">
        <v>344</v>
      </c>
      <c r="C19" s="72">
        <f>'7. CO2 loss - felling forestry'!$C$11</f>
        <v>0</v>
      </c>
      <c r="D19" s="442">
        <f>'7. CO2 loss - felling forestry'!$C$11</f>
        <v>0</v>
      </c>
      <c r="E19" s="239">
        <f>'7. CO2 loss - felling forestry'!$C$11</f>
        <v>0</v>
      </c>
      <c r="F19" s="196">
        <f t="shared" si="0"/>
        <v>0</v>
      </c>
      <c r="G19" s="443">
        <f t="shared" si="1"/>
        <v>0</v>
      </c>
      <c r="H19" s="444">
        <f t="shared" si="2"/>
        <v>0</v>
      </c>
      <c r="I19" s="352"/>
      <c r="J19" s="387"/>
      <c r="K19" s="388"/>
      <c r="L19" s="388"/>
    </row>
    <row r="20" spans="2:12" ht="15.75" customHeight="1">
      <c r="B20" s="1" t="s">
        <v>61</v>
      </c>
      <c r="C20" s="83">
        <f aca="true" t="shared" si="3" ref="C20:H20">SUM(C14:C19)</f>
        <v>62119721.39481714</v>
      </c>
      <c r="D20" s="247">
        <f t="shared" si="3"/>
        <v>62119721.39481714</v>
      </c>
      <c r="E20" s="239">
        <f t="shared" si="3"/>
        <v>62119721.39481714</v>
      </c>
      <c r="F20" s="175">
        <f t="shared" si="3"/>
        <v>407.19451028817826</v>
      </c>
      <c r="G20" s="250">
        <f t="shared" si="3"/>
        <v>814.3890205763565</v>
      </c>
      <c r="H20" s="242">
        <f t="shared" si="3"/>
        <v>576.9147921710597</v>
      </c>
      <c r="I20" s="387"/>
      <c r="J20" s="387"/>
      <c r="K20" s="388"/>
      <c r="L20" s="388"/>
    </row>
    <row r="21" spans="2:5" ht="19.5" customHeight="1">
      <c r="B21" s="556" t="s">
        <v>342</v>
      </c>
      <c r="C21" s="556"/>
      <c r="E21" s="387"/>
    </row>
    <row r="22" spans="2:8" ht="28.5">
      <c r="B22" s="37"/>
      <c r="C22" s="153" t="s">
        <v>404</v>
      </c>
      <c r="D22" s="568" t="s">
        <v>176</v>
      </c>
      <c r="E22" s="566"/>
      <c r="F22" s="569"/>
      <c r="H22" s="253"/>
    </row>
    <row r="23" spans="2:8" ht="38.25">
      <c r="B23" s="37"/>
      <c r="C23" s="177"/>
      <c r="D23" s="173" t="s">
        <v>77</v>
      </c>
      <c r="E23" s="244" t="s">
        <v>78</v>
      </c>
      <c r="F23" s="240" t="s">
        <v>147</v>
      </c>
      <c r="G23"/>
      <c r="H23" s="493"/>
    </row>
    <row r="24" spans="2:8" ht="25.5">
      <c r="B24" s="458" t="s">
        <v>348</v>
      </c>
      <c r="C24" s="445">
        <f>'8. CO2 gain - site improvement'!C51</f>
        <v>152617.1532954334</v>
      </c>
      <c r="D24" s="459">
        <f>12*$C24/$C$8</f>
        <v>1.0004047925896653</v>
      </c>
      <c r="E24" s="460">
        <f>12*$C24/$C$9</f>
        <v>2.0008095851793306</v>
      </c>
      <c r="F24" s="461">
        <f>12*$C24/$C$10</f>
        <v>1.417377465613035</v>
      </c>
      <c r="G24"/>
      <c r="H24" s="493"/>
    </row>
    <row r="25" spans="2:8" ht="25.5">
      <c r="B25" s="44" t="s">
        <v>347</v>
      </c>
      <c r="C25" s="238">
        <f>'8. CO2 gain - site improvement'!D51</f>
        <v>0</v>
      </c>
      <c r="D25" s="462">
        <f>12*$C25/$C$8</f>
        <v>0</v>
      </c>
      <c r="E25" s="463">
        <f>12*$C25/$C$9</f>
        <v>0</v>
      </c>
      <c r="F25" s="464">
        <f>12*$C25/$C$10</f>
        <v>0</v>
      </c>
      <c r="H25" s="253"/>
    </row>
    <row r="26" spans="2:8" ht="25.5">
      <c r="B26" s="44" t="s">
        <v>358</v>
      </c>
      <c r="C26" s="238">
        <f>'8. CO2 gain - site improvement'!E51</f>
        <v>8295.222710374193</v>
      </c>
      <c r="D26" s="462">
        <f>12*$C26/$C$8</f>
        <v>0.05437514968578099</v>
      </c>
      <c r="E26" s="463">
        <f>12*$C26/$C$9</f>
        <v>0.10875029937156198</v>
      </c>
      <c r="F26" s="464">
        <f>12*$C26/$C$10</f>
        <v>0.07703892706716911</v>
      </c>
      <c r="H26" s="253"/>
    </row>
    <row r="27" spans="2:8" ht="25.5">
      <c r="B27" s="44" t="s">
        <v>400</v>
      </c>
      <c r="C27" s="509">
        <f>'8. CO2 gain - site improvement'!F51</f>
        <v>0</v>
      </c>
      <c r="D27" s="462">
        <f>12*$C27/$C$8</f>
        <v>0</v>
      </c>
      <c r="E27" s="463">
        <f>12*$C27/$C$9</f>
        <v>0</v>
      </c>
      <c r="F27" s="464">
        <f>12*$C27/$C$10</f>
        <v>0</v>
      </c>
      <c r="H27" s="253"/>
    </row>
    <row r="28" spans="2:8" ht="12.75">
      <c r="B28" s="38" t="s">
        <v>62</v>
      </c>
      <c r="C28" s="178">
        <f>SUM(C24:C27)</f>
        <v>160912.3760058076</v>
      </c>
      <c r="D28" s="179">
        <f>SUM(D24:D27)</f>
        <v>1.0547799422754462</v>
      </c>
      <c r="E28" s="480">
        <f>SUM(E24:E27)</f>
        <v>2.1095598845508925</v>
      </c>
      <c r="F28" s="481">
        <f>SUM(F24:F27)</f>
        <v>1.494416392680204</v>
      </c>
      <c r="H28" s="253"/>
    </row>
    <row r="29" spans="2:8" ht="13.5" thickBot="1">
      <c r="B29" s="220"/>
      <c r="C29" s="113"/>
      <c r="D29" s="510"/>
      <c r="E29" s="511"/>
      <c r="F29" s="512"/>
      <c r="H29" s="253"/>
    </row>
    <row r="30" spans="2:8" ht="27.75" thickBot="1">
      <c r="B30" s="513" t="s">
        <v>406</v>
      </c>
      <c r="C30" s="514">
        <f>C20-C28</f>
        <v>61958809.01881134</v>
      </c>
      <c r="D30" s="510"/>
      <c r="E30" s="511"/>
      <c r="F30" s="512"/>
      <c r="H30" s="253"/>
    </row>
    <row r="31" spans="2:8" ht="19.5" customHeight="1" thickBot="1">
      <c r="B31" s="556" t="s">
        <v>28</v>
      </c>
      <c r="C31" s="556"/>
      <c r="E31" s="556"/>
      <c r="F31" s="557"/>
      <c r="G31" s="557"/>
      <c r="H31" s="253"/>
    </row>
    <row r="32" spans="2:7" ht="51">
      <c r="B32" s="147"/>
      <c r="C32" s="150" t="s">
        <v>67</v>
      </c>
      <c r="D32" s="356" t="s">
        <v>149</v>
      </c>
      <c r="E32" s="467"/>
      <c r="F32" s="468"/>
      <c r="G32" s="468"/>
    </row>
    <row r="33" spans="2:7" ht="12.75">
      <c r="B33" s="148" t="s">
        <v>12</v>
      </c>
      <c r="C33" s="176">
        <f>(C20-C28)/C8</f>
        <v>33.84497752882523</v>
      </c>
      <c r="D33" s="357">
        <f>12*(C20-C28)/C8</f>
        <v>406.13973034590276</v>
      </c>
      <c r="E33" s="467"/>
      <c r="F33" s="469"/>
      <c r="G33" s="470"/>
    </row>
    <row r="34" spans="2:7" ht="12.75">
      <c r="B34" s="529" t="s">
        <v>11</v>
      </c>
      <c r="C34" s="530">
        <f>(D20-C28)/C9</f>
        <v>67.68995505765047</v>
      </c>
      <c r="D34" s="531">
        <f>12*(D20-C28)/C9</f>
        <v>812.2794606918055</v>
      </c>
      <c r="E34" s="471"/>
      <c r="F34" s="472"/>
      <c r="G34" s="473"/>
    </row>
    <row r="35" spans="2:7" ht="13.5" thickBot="1">
      <c r="B35" s="149" t="s">
        <v>131</v>
      </c>
      <c r="C35" s="199">
        <f>(E20-C28)/C10</f>
        <v>47.95169798153163</v>
      </c>
      <c r="D35" s="358">
        <f>12*(E20-C28)/C10</f>
        <v>575.4203757783795</v>
      </c>
      <c r="E35" s="467"/>
      <c r="F35" s="469"/>
      <c r="G35" s="470"/>
    </row>
    <row r="36" ht="13.5" thickBot="1"/>
    <row r="37" spans="2:7" ht="13.5" thickBot="1">
      <c r="B37" s="446"/>
      <c r="C37" s="447" t="s">
        <v>351</v>
      </c>
      <c r="D37" s="447" t="s">
        <v>148</v>
      </c>
      <c r="E37" s="570"/>
      <c r="F37" s="571"/>
      <c r="G37" s="380"/>
    </row>
    <row r="38" spans="2:7" ht="12.75">
      <c r="B38" s="374" t="s">
        <v>216</v>
      </c>
      <c r="C38" s="377">
        <f>E14</f>
        <v>175140.00000000003</v>
      </c>
      <c r="D38" s="448">
        <f>H14</f>
        <v>1.6265503841952131</v>
      </c>
      <c r="E38" s="570"/>
      <c r="F38" s="571"/>
      <c r="G38" s="380"/>
    </row>
    <row r="39" spans="2:7" ht="12.75">
      <c r="B39" s="375" t="s">
        <v>217</v>
      </c>
      <c r="C39" s="378">
        <f>E15</f>
        <v>358919.1</v>
      </c>
      <c r="D39" s="449">
        <f>H15</f>
        <v>3.3333333333333326</v>
      </c>
      <c r="E39" s="570"/>
      <c r="F39" s="571"/>
      <c r="G39" s="380"/>
    </row>
    <row r="40" spans="2:7" ht="12.75">
      <c r="B40" s="375" t="s">
        <v>264</v>
      </c>
      <c r="C40" s="378">
        <f>E16</f>
        <v>1781331.17023022</v>
      </c>
      <c r="D40" s="449">
        <f>H16</f>
        <v>16.543478927240336</v>
      </c>
      <c r="E40" s="570"/>
      <c r="F40" s="571"/>
      <c r="G40" s="380"/>
    </row>
    <row r="41" spans="2:7" ht="12.75">
      <c r="B41" s="375" t="s">
        <v>218</v>
      </c>
      <c r="C41" s="378">
        <f>E19</f>
        <v>0</v>
      </c>
      <c r="D41" s="449">
        <f>H19</f>
        <v>0</v>
      </c>
      <c r="E41" s="570"/>
      <c r="F41" s="571"/>
      <c r="G41" s="380"/>
    </row>
    <row r="42" spans="2:7" ht="12.75">
      <c r="B42" s="375" t="s">
        <v>242</v>
      </c>
      <c r="C42" s="378">
        <f>E17-C27</f>
        <v>53236347.8302195</v>
      </c>
      <c r="D42" s="449">
        <f>H17-F27</f>
        <v>494.413623480607</v>
      </c>
      <c r="E42" s="570"/>
      <c r="F42" s="571"/>
      <c r="G42" s="380"/>
    </row>
    <row r="43" spans="2:4" ht="12.75">
      <c r="B43" s="375" t="s">
        <v>395</v>
      </c>
      <c r="C43" s="378">
        <f>E18</f>
        <v>6567983.294367429</v>
      </c>
      <c r="D43" s="449">
        <f>H18</f>
        <v>60.997806045683916</v>
      </c>
    </row>
    <row r="44" spans="2:4" ht="14.25" customHeight="1">
      <c r="B44" s="375" t="s">
        <v>350</v>
      </c>
      <c r="C44" s="378">
        <f>-C24</f>
        <v>-152617.1532954334</v>
      </c>
      <c r="D44" s="449">
        <f>-F24</f>
        <v>-1.417377465613035</v>
      </c>
    </row>
    <row r="45" spans="2:4" ht="12.75">
      <c r="B45" s="375" t="s">
        <v>349</v>
      </c>
      <c r="C45" s="378">
        <f>-C25</f>
        <v>0</v>
      </c>
      <c r="D45" s="449">
        <f>-F25</f>
        <v>0</v>
      </c>
    </row>
    <row r="46" spans="2:4" ht="13.5" thickBot="1">
      <c r="B46" s="376" t="s">
        <v>357</v>
      </c>
      <c r="C46" s="379">
        <f>-C26</f>
        <v>-8295.222710374193</v>
      </c>
      <c r="D46" s="450">
        <f>-F26</f>
        <v>-0.07703892706716911</v>
      </c>
    </row>
    <row r="60" ht="12.75">
      <c r="C60" s="253"/>
    </row>
  </sheetData>
  <mergeCells count="16">
    <mergeCell ref="E40:F40"/>
    <mergeCell ref="E41:F41"/>
    <mergeCell ref="E42:F42"/>
    <mergeCell ref="E37:F37"/>
    <mergeCell ref="E38:F38"/>
    <mergeCell ref="E39:F39"/>
    <mergeCell ref="E31:G31"/>
    <mergeCell ref="B21:C21"/>
    <mergeCell ref="B31:C31"/>
    <mergeCell ref="B2:I2"/>
    <mergeCell ref="B5:I5"/>
    <mergeCell ref="B6:C6"/>
    <mergeCell ref="B11:C11"/>
    <mergeCell ref="C12:E12"/>
    <mergeCell ref="F12:H12"/>
    <mergeCell ref="D22:F22"/>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G22"/>
  <sheetViews>
    <sheetView workbookViewId="0" topLeftCell="A1">
      <selection activeCell="C12" sqref="C12"/>
    </sheetView>
  </sheetViews>
  <sheetFormatPr defaultColWidth="9.140625" defaultRowHeight="12.75"/>
  <cols>
    <col min="1" max="1" width="2.7109375" style="24" customWidth="1"/>
    <col min="2" max="2" width="40.00390625" style="24" customWidth="1"/>
    <col min="3" max="3" width="26.421875" style="24" customWidth="1"/>
    <col min="4" max="16384" width="9.140625" style="24" customWidth="1"/>
  </cols>
  <sheetData>
    <row r="1" ht="4.5" customHeight="1"/>
    <row r="2" spans="2:7" ht="12.75">
      <c r="B2" s="558"/>
      <c r="C2" s="559"/>
      <c r="D2" s="559"/>
      <c r="E2" s="559"/>
      <c r="F2" s="559"/>
      <c r="G2" s="560"/>
    </row>
    <row r="3" spans="2:7" ht="12.75">
      <c r="B3" s="572" t="s">
        <v>20</v>
      </c>
      <c r="C3" s="573"/>
      <c r="D3" s="573"/>
      <c r="E3" s="573"/>
      <c r="F3" s="573"/>
      <c r="G3" s="574"/>
    </row>
    <row r="4" spans="2:7" ht="12.75">
      <c r="B4" s="31" t="s">
        <v>16</v>
      </c>
      <c r="C4" s="32"/>
      <c r="D4" s="32"/>
      <c r="E4" s="32"/>
      <c r="F4" s="32"/>
      <c r="G4" s="33"/>
    </row>
    <row r="5" spans="2:7" ht="12.75">
      <c r="B5" s="561"/>
      <c r="C5" s="562"/>
      <c r="D5" s="562"/>
      <c r="E5" s="562"/>
      <c r="F5" s="562"/>
      <c r="G5" s="563"/>
    </row>
    <row r="7" spans="2:3" ht="12.75">
      <c r="B7" s="30" t="s">
        <v>63</v>
      </c>
      <c r="C7" s="4"/>
    </row>
    <row r="8" spans="2:3" ht="12.75">
      <c r="B8" s="154" t="str">
        <f>'Input data'!B11</f>
        <v>No. of turbines</v>
      </c>
      <c r="C8" s="6">
        <v>150</v>
      </c>
    </row>
    <row r="9" spans="2:3" ht="12.75">
      <c r="B9" s="154" t="str">
        <f>'Input data'!B14</f>
        <v>Turbine capacity (MW)</v>
      </c>
      <c r="C9" s="6">
        <v>3.6</v>
      </c>
    </row>
    <row r="10" spans="2:3" ht="12.75">
      <c r="B10" s="5" t="s">
        <v>366</v>
      </c>
      <c r="C10" s="6">
        <f>C8*C9</f>
        <v>540</v>
      </c>
    </row>
    <row r="11" spans="2:3" ht="12.75">
      <c r="B11" s="5" t="str">
        <f>'Input data'!B15</f>
        <v>Capacity factor (percentage efficiency)</v>
      </c>
      <c r="C11" s="114">
        <f>'Input data'!C15</f>
        <v>45</v>
      </c>
    </row>
    <row r="12" spans="2:3" ht="14.25">
      <c r="B12" s="1" t="s">
        <v>367</v>
      </c>
      <c r="C12" s="2">
        <f>24*365*C10*C11/100</f>
        <v>2128680</v>
      </c>
    </row>
    <row r="13" ht="12.75">
      <c r="C13" s="25"/>
    </row>
    <row r="14" spans="2:3" ht="12.75">
      <c r="B14" s="30" t="str">
        <f>'Input data'!B36</f>
        <v>Counterfactual emission factors</v>
      </c>
      <c r="C14" s="4"/>
    </row>
    <row r="15" spans="2:3" ht="15.75">
      <c r="B15" s="5" t="s">
        <v>49</v>
      </c>
      <c r="C15" s="6">
        <f>'Input data'!C37</f>
        <v>0.86</v>
      </c>
    </row>
    <row r="16" spans="2:3" ht="15.75">
      <c r="B16" s="5" t="s">
        <v>50</v>
      </c>
      <c r="C16" s="117">
        <f>'Input data'!C38</f>
        <v>0.43</v>
      </c>
    </row>
    <row r="17" spans="2:3" ht="14.25">
      <c r="B17" s="7" t="s">
        <v>127</v>
      </c>
      <c r="C17" s="118">
        <f>'Input data'!C39</f>
        <v>0.607</v>
      </c>
    </row>
    <row r="18" ht="13.5" thickBot="1">
      <c r="C18" s="25"/>
    </row>
    <row r="19" spans="2:3" ht="27.75">
      <c r="B19" s="40" t="s">
        <v>363</v>
      </c>
      <c r="C19" s="43" t="s">
        <v>64</v>
      </c>
    </row>
    <row r="20" spans="2:3" ht="12.75">
      <c r="B20" s="41" t="s">
        <v>302</v>
      </c>
      <c r="C20" s="48">
        <f>C15*C12</f>
        <v>1830664.8</v>
      </c>
    </row>
    <row r="21" spans="2:3" ht="12.75">
      <c r="B21" s="76" t="s">
        <v>303</v>
      </c>
      <c r="C21" s="127">
        <f>C16*C12</f>
        <v>915332.4</v>
      </c>
    </row>
    <row r="22" spans="2:3" ht="13.5" thickBot="1">
      <c r="B22" s="42" t="s">
        <v>301</v>
      </c>
      <c r="C22" s="128">
        <f>C17*C12</f>
        <v>1292108.76</v>
      </c>
    </row>
  </sheetData>
  <mergeCells count="3">
    <mergeCell ref="B2:G2"/>
    <mergeCell ref="B5:G5"/>
    <mergeCell ref="B3:G3"/>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J28"/>
  <sheetViews>
    <sheetView workbookViewId="0" topLeftCell="A1">
      <selection activeCell="A1" sqref="A1"/>
    </sheetView>
  </sheetViews>
  <sheetFormatPr defaultColWidth="9.140625" defaultRowHeight="12.75"/>
  <cols>
    <col min="1" max="1" width="2.7109375" style="56" customWidth="1"/>
    <col min="2" max="2" width="70.28125" style="67" customWidth="1"/>
    <col min="3" max="3" width="16.7109375" style="56" customWidth="1"/>
    <col min="4" max="4" width="19.421875" style="56" customWidth="1"/>
    <col min="5" max="5" width="28.57421875" style="56" customWidth="1"/>
    <col min="6" max="16384" width="9.140625" style="56" customWidth="1"/>
  </cols>
  <sheetData>
    <row r="1" spans="1:2" ht="4.5" customHeight="1">
      <c r="A1" s="54"/>
      <c r="B1" s="55"/>
    </row>
    <row r="2" spans="1:10" ht="12.75">
      <c r="A2" s="54"/>
      <c r="B2" s="57"/>
      <c r="C2" s="58"/>
      <c r="D2" s="58"/>
      <c r="E2" s="58"/>
      <c r="F2" s="59"/>
      <c r="G2" s="60"/>
      <c r="H2" s="60"/>
      <c r="I2" s="60"/>
      <c r="J2" s="60"/>
    </row>
    <row r="3" spans="2:10" ht="12.75">
      <c r="B3" s="61" t="s">
        <v>81</v>
      </c>
      <c r="C3" s="62"/>
      <c r="D3" s="62"/>
      <c r="E3" s="62"/>
      <c r="F3" s="63"/>
      <c r="G3" s="60"/>
      <c r="H3" s="60"/>
      <c r="I3" s="60"/>
      <c r="J3" s="60"/>
    </row>
    <row r="4" spans="2:10" ht="12.75">
      <c r="B4" s="64" t="s">
        <v>65</v>
      </c>
      <c r="C4" s="62"/>
      <c r="D4" s="62"/>
      <c r="E4" s="62"/>
      <c r="F4" s="63"/>
      <c r="G4" s="60"/>
      <c r="H4" s="60"/>
      <c r="I4" s="60"/>
      <c r="J4" s="60"/>
    </row>
    <row r="5" spans="2:10" ht="12.75">
      <c r="B5" s="65"/>
      <c r="C5" s="66"/>
      <c r="D5" s="66"/>
      <c r="E5" s="66"/>
      <c r="F5" s="59"/>
      <c r="G5" s="60"/>
      <c r="H5" s="60"/>
      <c r="I5" s="60"/>
      <c r="J5" s="60"/>
    </row>
    <row r="6" ht="12.75"/>
    <row r="7" spans="2:3" ht="38.25">
      <c r="B7" s="101" t="s">
        <v>276</v>
      </c>
      <c r="C7" s="98" t="str">
        <f>IF('Input data'!$C$19=1,'Input data'!$H$16,'Input data'!$H$17)</f>
        <v>Calculate wrt installed capacity</v>
      </c>
    </row>
    <row r="8" spans="2:3" ht="12.75">
      <c r="B8" s="393"/>
      <c r="C8" s="390"/>
    </row>
    <row r="9" spans="2:3" ht="15.75">
      <c r="B9" s="391" t="s">
        <v>368</v>
      </c>
      <c r="C9" s="83">
        <f>'Input data'!C20</f>
        <v>0</v>
      </c>
    </row>
    <row r="10" spans="2:3" ht="12.75">
      <c r="B10" s="394"/>
      <c r="C10" s="395"/>
    </row>
    <row r="11" spans="2:7" ht="12.75">
      <c r="B11" s="68" t="s">
        <v>277</v>
      </c>
      <c r="C11" s="39"/>
      <c r="D11" s="279"/>
      <c r="G11" s="56" t="s">
        <v>72</v>
      </c>
    </row>
    <row r="12" spans="2:5" ht="15.75">
      <c r="B12" s="70" t="s">
        <v>387</v>
      </c>
      <c r="C12" s="47">
        <f>286*'Input data'!C14+138</f>
        <v>1167.6000000000001</v>
      </c>
      <c r="D12" s="279"/>
      <c r="E12" s="279"/>
    </row>
    <row r="13" spans="2:5" ht="12.75">
      <c r="B13" s="5" t="str">
        <f>'Input data'!B11</f>
        <v>No. of turbines</v>
      </c>
      <c r="C13" s="486">
        <f>'Input data'!C11</f>
        <v>150</v>
      </c>
      <c r="D13" s="486"/>
      <c r="E13" s="259"/>
    </row>
    <row r="14" spans="2:5" ht="14.25" customHeight="1">
      <c r="B14" s="98" t="s">
        <v>369</v>
      </c>
      <c r="C14" s="83">
        <f>C12*C13</f>
        <v>175140.00000000003</v>
      </c>
      <c r="D14" s="279"/>
      <c r="E14" s="279"/>
    </row>
    <row r="15" spans="2:3" ht="12.75">
      <c r="B15" s="390"/>
      <c r="C15" s="107"/>
    </row>
    <row r="16" spans="2:3" ht="14.25" customHeight="1">
      <c r="B16" s="391" t="s">
        <v>370</v>
      </c>
      <c r="C16" s="83">
        <f>IF('Input data'!C19=1,'2. CO2 loss due to turbine life'!C9,'2. CO2 loss due to turbine life'!C14)</f>
        <v>175140.00000000003</v>
      </c>
    </row>
    <row r="17" spans="2:3" ht="12.75">
      <c r="B17" s="56"/>
      <c r="C17" s="67"/>
    </row>
    <row r="18" spans="2:3" ht="47.25">
      <c r="B18" s="120" t="s">
        <v>363</v>
      </c>
      <c r="C18" s="74" t="s">
        <v>64</v>
      </c>
    </row>
    <row r="19" spans="2:3" ht="12.75">
      <c r="B19" s="392" t="s">
        <v>278</v>
      </c>
      <c r="C19" s="47">
        <f>'Payback Time'!C8</f>
        <v>1830664.8</v>
      </c>
    </row>
    <row r="20" spans="2:3" ht="12.75">
      <c r="B20" s="392" t="s">
        <v>279</v>
      </c>
      <c r="C20" s="82">
        <f>'Payback Time'!C9</f>
        <v>915332.4</v>
      </c>
    </row>
    <row r="21" spans="2:3" ht="12.75">
      <c r="B21" s="121" t="s">
        <v>280</v>
      </c>
      <c r="C21" s="109">
        <f>'1. Windfarm CO2 emission saving'!C22</f>
        <v>1292108.76</v>
      </c>
    </row>
    <row r="22" spans="2:3" ht="13.5" thickBot="1">
      <c r="B22" s="56"/>
      <c r="C22" s="67"/>
    </row>
    <row r="23" spans="2:6" ht="27">
      <c r="B23" s="132" t="s">
        <v>371</v>
      </c>
      <c r="C23" s="227" t="s">
        <v>71</v>
      </c>
      <c r="D23" s="130" t="s">
        <v>213</v>
      </c>
      <c r="E23" s="60"/>
      <c r="F23" s="60"/>
    </row>
    <row r="24" spans="2:6" ht="12.75">
      <c r="B24" s="76" t="s">
        <v>69</v>
      </c>
      <c r="C24" s="228">
        <f>C16/C19</f>
        <v>0.09567016310140448</v>
      </c>
      <c r="D24" s="234">
        <f>C24*12</f>
        <v>1.1480419572168539</v>
      </c>
      <c r="E24" s="60"/>
      <c r="F24" s="60"/>
    </row>
    <row r="25" spans="2:6" ht="12.75">
      <c r="B25" s="76" t="s">
        <v>70</v>
      </c>
      <c r="C25" s="296">
        <f>C16/C20</f>
        <v>0.19134032620280897</v>
      </c>
      <c r="D25" s="297">
        <f>C25*12</f>
        <v>2.2960839144337077</v>
      </c>
      <c r="E25" s="60"/>
      <c r="F25" s="60"/>
    </row>
    <row r="26" spans="2:4" ht="13.5" thickBot="1">
      <c r="B26" s="133" t="s">
        <v>129</v>
      </c>
      <c r="C26" s="229">
        <f>C16/C21</f>
        <v>0.13554586534960109</v>
      </c>
      <c r="D26" s="235">
        <f>C26*12</f>
        <v>1.626550384195213</v>
      </c>
    </row>
    <row r="28" spans="2:4" ht="12.75">
      <c r="B28" s="488" t="s">
        <v>386</v>
      </c>
      <c r="C28" s="489">
        <f>IF('Input data'!C19=1,0%,39%)</f>
        <v>0.39</v>
      </c>
      <c r="D28" s="487">
        <f>12*C12*C28*C13/C21</f>
        <v>0.634354649836133</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2:I37"/>
  <sheetViews>
    <sheetView workbookViewId="0" topLeftCell="A1">
      <selection activeCell="C13" sqref="C13"/>
    </sheetView>
  </sheetViews>
  <sheetFormatPr defaultColWidth="9.140625" defaultRowHeight="12.75"/>
  <cols>
    <col min="1" max="1" width="2.8515625" style="24" customWidth="1"/>
    <col min="2" max="2" width="40.57421875" style="24" bestFit="1" customWidth="1"/>
    <col min="3" max="3" width="32.8515625" style="25" customWidth="1"/>
    <col min="4" max="4" width="23.8515625" style="24" customWidth="1"/>
    <col min="5" max="16384" width="9.140625" style="24" customWidth="1"/>
  </cols>
  <sheetData>
    <row r="1" ht="3.75" customHeight="1"/>
    <row r="2" spans="2:5" ht="12.75">
      <c r="B2" s="57"/>
      <c r="C2" s="58"/>
      <c r="D2" s="58"/>
      <c r="E2" s="78"/>
    </row>
    <row r="3" spans="2:5" ht="12.75">
      <c r="B3" s="61" t="s">
        <v>82</v>
      </c>
      <c r="C3" s="62"/>
      <c r="D3" s="62"/>
      <c r="E3" s="79"/>
    </row>
    <row r="4" spans="2:5" ht="12.75">
      <c r="B4" s="65"/>
      <c r="C4" s="66"/>
      <c r="D4" s="66"/>
      <c r="E4" s="80"/>
    </row>
    <row r="5" spans="1:9" ht="12.75">
      <c r="A5" s="575"/>
      <c r="B5" s="575"/>
      <c r="C5" s="575"/>
      <c r="D5" s="575"/>
      <c r="E5" s="575"/>
      <c r="F5" s="575"/>
      <c r="G5" s="575"/>
      <c r="H5" s="575"/>
      <c r="I5" s="575"/>
    </row>
    <row r="6" spans="2:3" ht="12.75">
      <c r="B6" s="30" t="s">
        <v>74</v>
      </c>
      <c r="C6" s="4"/>
    </row>
    <row r="7" spans="2:3" ht="12.75">
      <c r="B7" s="154" t="str">
        <f>'Input data'!B11</f>
        <v>No. of turbines</v>
      </c>
      <c r="C7" s="6">
        <f>'Input data'!C11</f>
        <v>150</v>
      </c>
    </row>
    <row r="8" spans="2:3" ht="12.75">
      <c r="B8" s="154" t="str">
        <f>'Input data'!B14</f>
        <v>Turbine capacity (MW)</v>
      </c>
      <c r="C8" s="6">
        <f>'Input data'!C14</f>
        <v>3.6</v>
      </c>
    </row>
    <row r="9" spans="2:3" ht="14.25">
      <c r="B9" s="5" t="s">
        <v>372</v>
      </c>
      <c r="C9" s="6">
        <f>C7*C8</f>
        <v>540</v>
      </c>
    </row>
    <row r="10" spans="2:3" ht="12.75">
      <c r="B10" s="5" t="s">
        <v>233</v>
      </c>
      <c r="C10" s="6">
        <f>C9*365*24</f>
        <v>4730400</v>
      </c>
    </row>
    <row r="11" spans="2:3" ht="12.75">
      <c r="B11" s="5" t="s">
        <v>73</v>
      </c>
      <c r="C11" s="6">
        <f>'Input data'!C17</f>
        <v>5</v>
      </c>
    </row>
    <row r="12" spans="2:3" ht="25.5">
      <c r="B12" s="52" t="str">
        <f>'Input data'!B18</f>
        <v>Additional emissions due to reduced thermal efficiency of the reserve generation (%)</v>
      </c>
      <c r="C12" s="8">
        <f>'Input data'!C18</f>
        <v>10</v>
      </c>
    </row>
    <row r="13" spans="2:3" ht="14.25">
      <c r="B13" s="1" t="s">
        <v>75</v>
      </c>
      <c r="C13" s="115">
        <f>C10*(C11/100)*(C12/100)</f>
        <v>23652</v>
      </c>
    </row>
    <row r="15" spans="2:3" ht="25.5">
      <c r="B15" s="51" t="s">
        <v>76</v>
      </c>
      <c r="C15" s="4"/>
    </row>
    <row r="16" spans="2:3" ht="15.75">
      <c r="B16" s="5" t="s">
        <v>49</v>
      </c>
      <c r="C16" s="6">
        <f>'Input data'!C37</f>
        <v>0.86</v>
      </c>
    </row>
    <row r="17" spans="2:3" ht="15.75">
      <c r="B17" s="5" t="s">
        <v>50</v>
      </c>
      <c r="C17" s="6">
        <f>'Input data'!C38</f>
        <v>0.43</v>
      </c>
    </row>
    <row r="18" spans="2:3" ht="15.75">
      <c r="B18" s="5" t="s">
        <v>130</v>
      </c>
      <c r="C18" s="117">
        <f>'Input data'!$C$39</f>
        <v>0.607</v>
      </c>
    </row>
    <row r="19" spans="2:3" ht="12.75">
      <c r="B19" s="5" t="str">
        <f>'Input data'!B12</f>
        <v>Life time of wind farm (years)</v>
      </c>
      <c r="C19" s="6">
        <f>'Input data'!C12</f>
        <v>25</v>
      </c>
    </row>
    <row r="20" spans="2:3" ht="12.75">
      <c r="B20" s="3" t="s">
        <v>79</v>
      </c>
      <c r="C20" s="4"/>
    </row>
    <row r="21" spans="2:3" ht="12.75">
      <c r="B21" s="44" t="str">
        <f>'1. Windfarm CO2 emission saving'!B20</f>
        <v>         …coal-fired electricity generation</v>
      </c>
      <c r="C21" s="6">
        <f>C13*C16</f>
        <v>20340.72</v>
      </c>
    </row>
    <row r="22" spans="2:3" ht="12.75">
      <c r="B22" s="44" t="str">
        <f>'1. Windfarm CO2 emission saving'!B21</f>
        <v>         …grid-mix of electricity generation</v>
      </c>
      <c r="C22" s="117">
        <f>C17*C13</f>
        <v>10170.36</v>
      </c>
    </row>
    <row r="23" spans="2:3" ht="25.5">
      <c r="B23" s="44" t="str">
        <f>'1. Windfarm CO2 emission saving'!B22</f>
        <v>         …fossil fuel - mix of electricity generation</v>
      </c>
      <c r="C23" s="8">
        <f>C13*C18</f>
        <v>14356.764</v>
      </c>
    </row>
    <row r="24" spans="2:3" ht="12.75">
      <c r="B24" s="3" t="s">
        <v>80</v>
      </c>
      <c r="C24" s="6"/>
    </row>
    <row r="25" spans="2:3" ht="12.75">
      <c r="B25" s="44" t="str">
        <f>'1. Windfarm CO2 emission saving'!B20</f>
        <v>         …coal-fired electricity generation</v>
      </c>
      <c r="C25" s="114">
        <f>C21*C19</f>
        <v>508518</v>
      </c>
    </row>
    <row r="26" spans="2:3" ht="12.75">
      <c r="B26" s="44" t="str">
        <f>'1. Windfarm CO2 emission saving'!B21</f>
        <v>         …grid-mix of electricity generation</v>
      </c>
      <c r="C26" s="114">
        <f>C22*C19</f>
        <v>254259</v>
      </c>
    </row>
    <row r="27" spans="2:3" ht="25.5">
      <c r="B27" s="52" t="str">
        <f>'1. Windfarm CO2 emission saving'!B22</f>
        <v>         …fossil fuel - mix of electricity generation</v>
      </c>
      <c r="C27" s="36">
        <f>C23*C19</f>
        <v>358919.1</v>
      </c>
    </row>
    <row r="28" ht="13.5" thickBot="1"/>
    <row r="29" spans="2:3" ht="15.75">
      <c r="B29" s="40" t="s">
        <v>363</v>
      </c>
      <c r="C29" s="49" t="s">
        <v>66</v>
      </c>
    </row>
    <row r="30" spans="2:3" ht="12.75">
      <c r="B30" s="76" t="str">
        <f>'1. Windfarm CO2 emission saving'!B20</f>
        <v>         …coal-fired electricity generation</v>
      </c>
      <c r="C30" s="77">
        <f>'1. Windfarm CO2 emission saving'!C20</f>
        <v>1830664.8</v>
      </c>
    </row>
    <row r="31" spans="2:3" ht="12.75">
      <c r="B31" s="76" t="str">
        <f>'1. Windfarm CO2 emission saving'!B21</f>
        <v>         …grid-mix of electricity generation</v>
      </c>
      <c r="C31" s="135">
        <f>'1. Windfarm CO2 emission saving'!C21</f>
        <v>915332.4</v>
      </c>
    </row>
    <row r="32" spans="2:3" ht="13.5" thickBot="1">
      <c r="B32" s="42" t="str">
        <f>'1. Windfarm CO2 emission saving'!B22</f>
        <v>         …fossil fuel - mix of electricity generation</v>
      </c>
      <c r="C32" s="134">
        <f>'1. Windfarm CO2 emission saving'!C22</f>
        <v>1292108.76</v>
      </c>
    </row>
    <row r="33" ht="13.5" thickBot="1"/>
    <row r="34" spans="2:4" ht="27">
      <c r="B34" s="132" t="s">
        <v>373</v>
      </c>
      <c r="C34" s="227" t="s">
        <v>71</v>
      </c>
      <c r="D34" s="130" t="s">
        <v>213</v>
      </c>
    </row>
    <row r="35" spans="2:4" ht="12.75">
      <c r="B35" s="76" t="s">
        <v>69</v>
      </c>
      <c r="C35" s="230">
        <f>C27/C30</f>
        <v>0.19605943152454777</v>
      </c>
      <c r="D35" s="232">
        <f>C35*12</f>
        <v>2.3527131782945734</v>
      </c>
    </row>
    <row r="36" spans="2:4" ht="12.75">
      <c r="B36" s="76" t="s">
        <v>70</v>
      </c>
      <c r="C36" s="302">
        <f>C27/C31</f>
        <v>0.39211886304909555</v>
      </c>
      <c r="D36" s="303">
        <f>C36*12</f>
        <v>4.705426356589147</v>
      </c>
    </row>
    <row r="37" spans="2:4" ht="13.5" thickBot="1">
      <c r="B37" s="11" t="s">
        <v>214</v>
      </c>
      <c r="C37" s="231">
        <f>C27/C32</f>
        <v>0.27777777777777773</v>
      </c>
      <c r="D37" s="233">
        <f>C37*12</f>
        <v>3.333333333333333</v>
      </c>
    </row>
  </sheetData>
  <mergeCells count="1">
    <mergeCell ref="A5:I5"/>
  </mergeCells>
  <printOptions/>
  <pageMargins left="0.75" right="0.75" top="1" bottom="1" header="0.5" footer="0.5"/>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B2:E30"/>
  <sheetViews>
    <sheetView workbookViewId="0" topLeftCell="A1">
      <selection activeCell="C7" sqref="C7"/>
    </sheetView>
  </sheetViews>
  <sheetFormatPr defaultColWidth="9.140625" defaultRowHeight="12.75"/>
  <cols>
    <col min="1" max="1" width="3.421875" style="24" customWidth="1"/>
    <col min="2" max="2" width="55.7109375" style="24" customWidth="1"/>
    <col min="3" max="3" width="35.7109375" style="24" customWidth="1"/>
    <col min="4" max="4" width="30.00390625" style="24" customWidth="1"/>
    <col min="5" max="16384" width="9.140625" style="24" customWidth="1"/>
  </cols>
  <sheetData>
    <row r="1" ht="4.5" customHeight="1"/>
    <row r="2" spans="2:5" ht="12.75">
      <c r="B2" s="57"/>
      <c r="C2" s="58"/>
      <c r="D2" s="58"/>
      <c r="E2" s="78"/>
    </row>
    <row r="3" spans="2:5" ht="12.75">
      <c r="B3" s="61" t="s">
        <v>309</v>
      </c>
      <c r="C3" s="62"/>
      <c r="D3" s="62"/>
      <c r="E3" s="79"/>
    </row>
    <row r="4" spans="2:5" ht="12.75">
      <c r="B4" s="65"/>
      <c r="C4" s="66"/>
      <c r="D4" s="66"/>
      <c r="E4" s="80"/>
    </row>
    <row r="5" spans="2:5" ht="12.75">
      <c r="B5" s="116"/>
      <c r="C5" s="60"/>
      <c r="D5" s="60"/>
      <c r="E5" s="60"/>
    </row>
    <row r="6" spans="2:5" ht="12.75">
      <c r="B6" s="50" t="s">
        <v>306</v>
      </c>
      <c r="C6" s="35"/>
      <c r="E6" s="60"/>
    </row>
    <row r="7" spans="2:5" ht="14.25">
      <c r="B7" s="53" t="s">
        <v>119</v>
      </c>
      <c r="C7" s="114">
        <f>'5a. Volume of peat removed'!C55</f>
        <v>1630042.54</v>
      </c>
      <c r="E7" s="60"/>
    </row>
    <row r="8" spans="2:5" ht="14.25">
      <c r="B8" s="75" t="s">
        <v>120</v>
      </c>
      <c r="C8" s="114">
        <f>'5c. Volume of peat drained'!C62</f>
        <v>553539592.5</v>
      </c>
      <c r="E8" s="60"/>
    </row>
    <row r="9" spans="2:5" ht="14.25">
      <c r="B9" s="1" t="s">
        <v>241</v>
      </c>
      <c r="C9" s="115">
        <f>(C7+C8)</f>
        <v>555169635.04</v>
      </c>
      <c r="E9" s="60"/>
    </row>
    <row r="10" ht="12.75">
      <c r="E10" s="60"/>
    </row>
    <row r="11" spans="2:3" ht="12.75">
      <c r="B11" s="363" t="s">
        <v>257</v>
      </c>
      <c r="C11" s="3"/>
    </row>
    <row r="12" spans="2:3" ht="14.25">
      <c r="B12" s="69" t="s">
        <v>251</v>
      </c>
      <c r="C12" s="6">
        <f>'Input data'!C32</f>
        <v>0.25</v>
      </c>
    </row>
    <row r="13" spans="2:3" ht="12.75">
      <c r="B13" s="69" t="s">
        <v>19</v>
      </c>
      <c r="C13" s="6">
        <f>'Input data'!C12</f>
        <v>25</v>
      </c>
    </row>
    <row r="14" spans="2:3" ht="25.5">
      <c r="B14" s="73" t="str">
        <f>'Input data'!B31</f>
        <v>Time required for regeneration of bog plants after restoration (years)</v>
      </c>
      <c r="C14" s="72">
        <f>'Input data'!C31</f>
        <v>10</v>
      </c>
    </row>
    <row r="15" spans="2:3" ht="15.75">
      <c r="B15" s="1" t="s">
        <v>407</v>
      </c>
      <c r="C15" s="115">
        <f>C12*(C13+C14)*3.667</f>
        <v>32.08625</v>
      </c>
    </row>
    <row r="16" spans="2:3" ht="13.5" thickBot="1">
      <c r="B16" s="112"/>
      <c r="C16" s="113"/>
    </row>
    <row r="17" spans="2:3" ht="12.75">
      <c r="B17" s="364" t="s">
        <v>305</v>
      </c>
      <c r="C17" s="266"/>
    </row>
    <row r="18" spans="2:3" ht="12.75">
      <c r="B18" s="10" t="s">
        <v>255</v>
      </c>
      <c r="C18" s="267">
        <f>C9/10000</f>
        <v>55516.963504</v>
      </c>
    </row>
    <row r="19" spans="2:3" ht="15.75">
      <c r="B19" s="402" t="s">
        <v>304</v>
      </c>
      <c r="C19" s="365">
        <f>C15</f>
        <v>32.08625</v>
      </c>
    </row>
    <row r="20" spans="2:3" ht="15" thickBot="1">
      <c r="B20" s="204" t="s">
        <v>256</v>
      </c>
      <c r="C20" s="362">
        <f>C19*C18</f>
        <v>1781331.17023022</v>
      </c>
    </row>
    <row r="21" spans="2:3" ht="13.5" customHeight="1" thickBot="1">
      <c r="B21" s="112"/>
      <c r="C21" s="113"/>
    </row>
    <row r="22" spans="2:3" ht="15.75">
      <c r="B22" s="137" t="s">
        <v>68</v>
      </c>
      <c r="C22" s="136" t="s">
        <v>66</v>
      </c>
    </row>
    <row r="23" spans="2:3" ht="12.75">
      <c r="B23" s="76" t="str">
        <f>'1. Windfarm CO2 emission saving'!B20</f>
        <v>         …coal-fired electricity generation</v>
      </c>
      <c r="C23" s="135">
        <f>'1. Windfarm CO2 emission saving'!C20</f>
        <v>1830664.8</v>
      </c>
    </row>
    <row r="24" spans="2:3" ht="12.75">
      <c r="B24" s="76" t="str">
        <f>'1. Windfarm CO2 emission saving'!B21</f>
        <v>         …grid-mix of electricity generation</v>
      </c>
      <c r="C24" s="135">
        <f>'1. Windfarm CO2 emission saving'!C21</f>
        <v>915332.4</v>
      </c>
    </row>
    <row r="25" spans="2:3" ht="13.5" thickBot="1">
      <c r="B25" s="42" t="str">
        <f>'1. Windfarm CO2 emission saving'!B22</f>
        <v>         …fossil fuel - mix of electricity generation</v>
      </c>
      <c r="C25" s="134">
        <f>'1. Windfarm CO2 emission saving'!C22</f>
        <v>1292108.76</v>
      </c>
    </row>
    <row r="26" ht="13.5" thickBot="1"/>
    <row r="27" spans="2:4" ht="28.5">
      <c r="B27" s="129" t="s">
        <v>83</v>
      </c>
      <c r="C27" s="130" t="s">
        <v>215</v>
      </c>
      <c r="D27" s="130" t="s">
        <v>213</v>
      </c>
    </row>
    <row r="28" spans="2:4" ht="12.75">
      <c r="B28" s="76" t="s">
        <v>69</v>
      </c>
      <c r="C28" s="138">
        <f>C20/C23</f>
        <v>0.9730515221739229</v>
      </c>
      <c r="D28" s="251">
        <f>C28*12</f>
        <v>11.676618266087075</v>
      </c>
    </row>
    <row r="29" spans="2:4" ht="12.75">
      <c r="B29" s="76" t="s">
        <v>70</v>
      </c>
      <c r="C29" s="304">
        <f>C20/C24</f>
        <v>1.9461030443478458</v>
      </c>
      <c r="D29" s="307">
        <f>C29*12</f>
        <v>23.35323653217415</v>
      </c>
    </row>
    <row r="30" spans="2:4" ht="13.5" thickBot="1">
      <c r="B30" s="305" t="s">
        <v>129</v>
      </c>
      <c r="C30" s="139">
        <f>C20/C25</f>
        <v>1.3786232439366946</v>
      </c>
      <c r="D30" s="252">
        <f>C30*12</f>
        <v>16.543478927240336</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B2:I9"/>
  <sheetViews>
    <sheetView workbookViewId="0" topLeftCell="A1">
      <selection activeCell="A1" sqref="A1"/>
    </sheetView>
  </sheetViews>
  <sheetFormatPr defaultColWidth="9.140625" defaultRowHeight="12.75"/>
  <cols>
    <col min="1" max="1" width="3.28125" style="24" customWidth="1"/>
    <col min="2" max="2" width="57.7109375" style="24" customWidth="1"/>
    <col min="3" max="3" width="14.28125" style="24" customWidth="1"/>
    <col min="4" max="16384" width="9.140625" style="24" customWidth="1"/>
  </cols>
  <sheetData>
    <row r="1" ht="3.75" customHeight="1"/>
    <row r="2" spans="2:7" ht="12.75">
      <c r="B2" s="84"/>
      <c r="C2" s="85"/>
      <c r="D2" s="85"/>
      <c r="E2" s="85"/>
      <c r="F2" s="85"/>
      <c r="G2" s="86"/>
    </row>
    <row r="3" spans="2:7" ht="23.25" customHeight="1">
      <c r="B3" s="578" t="s">
        <v>152</v>
      </c>
      <c r="C3" s="579"/>
      <c r="D3" s="579"/>
      <c r="E3" s="579"/>
      <c r="F3" s="579"/>
      <c r="G3" s="580"/>
    </row>
    <row r="4" spans="2:7" ht="12.75">
      <c r="B4" s="90"/>
      <c r="C4" s="91"/>
      <c r="D4" s="91"/>
      <c r="E4" s="91"/>
      <c r="F4" s="91"/>
      <c r="G4" s="92"/>
    </row>
    <row r="5" spans="2:9" ht="13.5" thickBot="1">
      <c r="B5" s="557"/>
      <c r="C5" s="557"/>
      <c r="D5" s="557"/>
      <c r="E5" s="557"/>
      <c r="F5" s="557"/>
      <c r="G5" s="557"/>
      <c r="H5" s="557"/>
      <c r="I5" s="557"/>
    </row>
    <row r="6" spans="2:3" ht="14.25">
      <c r="B6" s="576" t="s">
        <v>132</v>
      </c>
      <c r="C6" s="577"/>
    </row>
    <row r="7" spans="2:3" ht="15.75">
      <c r="B7" s="41" t="s">
        <v>158</v>
      </c>
      <c r="C7" s="146">
        <f>'5b. CO2 loss from removed peat'!$C$11</f>
        <v>1885394.71887954</v>
      </c>
    </row>
    <row r="8" spans="2:3" ht="16.5" thickBot="1">
      <c r="B8" s="76" t="s">
        <v>159</v>
      </c>
      <c r="C8" s="146">
        <f>'5d. CO2 loss from drained peat'!C48</f>
        <v>51350953.11133996</v>
      </c>
    </row>
    <row r="9" spans="2:4" ht="15" thickBot="1">
      <c r="B9" s="165" t="s">
        <v>160</v>
      </c>
      <c r="C9" s="126">
        <f>C7+C8</f>
        <v>53236347.8302195</v>
      </c>
      <c r="D9" s="26"/>
    </row>
  </sheetData>
  <mergeCells count="3">
    <mergeCell ref="B5:I5"/>
    <mergeCell ref="B6:C6"/>
    <mergeCell ref="B3:G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2:G55"/>
  <sheetViews>
    <sheetView workbookViewId="0" topLeftCell="A1">
      <selection activeCell="C53" sqref="C53"/>
    </sheetView>
  </sheetViews>
  <sheetFormatPr defaultColWidth="9.140625" defaultRowHeight="12.75"/>
  <cols>
    <col min="1" max="1" width="2.57421875" style="24" customWidth="1"/>
    <col min="2" max="2" width="62.421875" style="24" customWidth="1"/>
    <col min="3" max="3" width="15.8515625" style="25" customWidth="1"/>
    <col min="4" max="16384" width="9.140625" style="24" customWidth="1"/>
  </cols>
  <sheetData>
    <row r="1" ht="6.75" customHeight="1"/>
    <row r="2" spans="2:7" ht="12.75">
      <c r="B2" s="84"/>
      <c r="C2" s="85"/>
      <c r="D2" s="85"/>
      <c r="E2" s="85"/>
      <c r="F2" s="85"/>
      <c r="G2" s="86"/>
    </row>
    <row r="3" spans="2:7" ht="12.75">
      <c r="B3" s="87" t="s">
        <v>150</v>
      </c>
      <c r="C3" s="88"/>
      <c r="D3" s="88"/>
      <c r="E3" s="88"/>
      <c r="F3" s="88"/>
      <c r="G3" s="89"/>
    </row>
    <row r="4" spans="2:7" ht="12.75">
      <c r="B4" s="87" t="s">
        <v>151</v>
      </c>
      <c r="C4" s="88"/>
      <c r="D4" s="88"/>
      <c r="E4" s="88"/>
      <c r="F4" s="88"/>
      <c r="G4" s="89"/>
    </row>
    <row r="5" spans="2:7" ht="12.75">
      <c r="B5" s="90"/>
      <c r="C5" s="91"/>
      <c r="D5" s="91"/>
      <c r="E5" s="91"/>
      <c r="F5" s="91"/>
      <c r="G5" s="92"/>
    </row>
    <row r="7" spans="2:3" ht="12.75">
      <c r="B7" s="9" t="s">
        <v>84</v>
      </c>
      <c r="C7" s="4"/>
    </row>
    <row r="8" spans="2:3" ht="12.75">
      <c r="B8" s="5" t="str">
        <f>'Input data'!B41</f>
        <v>Number of borrow pits</v>
      </c>
      <c r="C8" s="6">
        <f>'Input data'!$C$41</f>
        <v>14</v>
      </c>
    </row>
    <row r="9" spans="2:3" ht="12.75">
      <c r="B9" s="5" t="str">
        <f>'Input data'!B42</f>
        <v>Average length of pits (m)</v>
      </c>
      <c r="C9" s="6">
        <f>'Input data'!C42</f>
        <v>97</v>
      </c>
    </row>
    <row r="10" spans="2:3" ht="12.75">
      <c r="B10" s="5" t="str">
        <f>'Input data'!B43</f>
        <v>Average width of pits (m)</v>
      </c>
      <c r="C10" s="6">
        <f>'Input data'!C43</f>
        <v>126</v>
      </c>
    </row>
    <row r="11" spans="2:3" ht="12.75">
      <c r="B11" s="5" t="str">
        <f>'Input data'!B44</f>
        <v>Average depth of peat removed from pit (m)</v>
      </c>
      <c r="C11" s="6">
        <f>'Input data'!C44</f>
        <v>1.6</v>
      </c>
    </row>
    <row r="12" spans="2:3" ht="14.25">
      <c r="B12" s="3" t="s">
        <v>105</v>
      </c>
      <c r="C12" s="4">
        <f>C8*C9*C10</f>
        <v>171108</v>
      </c>
    </row>
    <row r="13" spans="2:3" ht="14.25">
      <c r="B13" s="7" t="s">
        <v>88</v>
      </c>
      <c r="C13" s="8">
        <f>C8*C9*C10*C11</f>
        <v>273772.8</v>
      </c>
    </row>
    <row r="15" spans="2:3" ht="12.75">
      <c r="B15" s="50" t="s">
        <v>89</v>
      </c>
      <c r="C15" s="4"/>
    </row>
    <row r="16" spans="2:3" ht="12.75">
      <c r="B16" s="34" t="str">
        <f>'Input data'!B11</f>
        <v>No. of turbines</v>
      </c>
      <c r="C16" s="6">
        <f>'Input data'!C11</f>
        <v>150</v>
      </c>
    </row>
    <row r="17" spans="2:3" ht="12.75">
      <c r="B17" s="34" t="str">
        <f>'Input data'!B46</f>
        <v>Average length of turbine foundations (m)</v>
      </c>
      <c r="C17" s="6">
        <f>'Input data'!C46</f>
        <v>25</v>
      </c>
    </row>
    <row r="18" spans="2:3" ht="12.75">
      <c r="B18" s="34" t="str">
        <f>'Input data'!B47</f>
        <v>Average width of turbine foundations(m)</v>
      </c>
      <c r="C18" s="6">
        <f>'Input data'!C47</f>
        <v>25</v>
      </c>
    </row>
    <row r="19" spans="2:3" ht="12.75">
      <c r="B19" s="34" t="str">
        <f>'Input data'!B48</f>
        <v>Average depth of peat removed from turbine foundations(m)</v>
      </c>
      <c r="C19" s="6">
        <f>'Input data'!C48</f>
        <v>1.6</v>
      </c>
    </row>
    <row r="20" spans="2:3" ht="14.25">
      <c r="B20" s="3" t="s">
        <v>107</v>
      </c>
      <c r="C20" s="4">
        <f>C16*C17*C18</f>
        <v>93750</v>
      </c>
    </row>
    <row r="21" spans="2:3" ht="14.25">
      <c r="B21" s="7" t="s">
        <v>26</v>
      </c>
      <c r="C21" s="8">
        <f>C17*C18*C19*C16</f>
        <v>150000</v>
      </c>
    </row>
    <row r="23" spans="2:3" ht="12.75">
      <c r="B23" s="9" t="s">
        <v>97</v>
      </c>
      <c r="C23" s="4"/>
    </row>
    <row r="24" spans="2:3" ht="12.75">
      <c r="B24" s="5" t="str">
        <f>'Input data'!B11</f>
        <v>No. of turbines</v>
      </c>
      <c r="C24" s="6">
        <f>'Input data'!C11</f>
        <v>150</v>
      </c>
    </row>
    <row r="25" spans="2:3" ht="12.75">
      <c r="B25" s="5" t="str">
        <f>'Input data'!B50</f>
        <v>Average length of hard-standing (m)</v>
      </c>
      <c r="C25" s="6">
        <f>'Input data'!C50</f>
        <v>43.06</v>
      </c>
    </row>
    <row r="26" spans="2:3" ht="12.75">
      <c r="B26" s="5" t="str">
        <f>'Input data'!B51</f>
        <v>Average width of hard-standing (m)</v>
      </c>
      <c r="C26" s="6">
        <f>'Input data'!C51</f>
        <v>43.06</v>
      </c>
    </row>
    <row r="27" spans="2:3" ht="12.75">
      <c r="B27" s="5" t="str">
        <f>'Input data'!B52</f>
        <v>Average depth of peat removed from hard-standing (m)</v>
      </c>
      <c r="C27" s="6">
        <f>'Input data'!C52</f>
        <v>1.6</v>
      </c>
    </row>
    <row r="28" spans="2:3" ht="14.25">
      <c r="B28" s="3" t="s">
        <v>108</v>
      </c>
      <c r="C28" s="4">
        <f>C24*C25*C26</f>
        <v>278124.54000000004</v>
      </c>
    </row>
    <row r="29" spans="2:3" ht="14.25">
      <c r="B29" s="7" t="s">
        <v>27</v>
      </c>
      <c r="C29" s="8">
        <f>C25*C26*C27*C24</f>
        <v>444999.2640000001</v>
      </c>
    </row>
    <row r="31" spans="2:3" ht="12.75">
      <c r="B31" s="50" t="s">
        <v>98</v>
      </c>
      <c r="C31" s="4"/>
    </row>
    <row r="32" spans="2:3" ht="12.75">
      <c r="B32" s="93" t="s">
        <v>101</v>
      </c>
      <c r="C32" s="6"/>
    </row>
    <row r="33" spans="2:3" ht="12.75">
      <c r="B33" s="94" t="str">
        <f>'Input data'!B56</f>
        <v>Length of access track that is floating road (m)</v>
      </c>
      <c r="C33" s="6">
        <f>'Input data'!C56</f>
        <v>86010</v>
      </c>
    </row>
    <row r="34" spans="2:3" ht="12.75">
      <c r="B34" s="94" t="str">
        <f>'Input data'!B57</f>
        <v>Floating road width (m)</v>
      </c>
      <c r="C34" s="6">
        <f>'Input data'!C57</f>
        <v>9.25</v>
      </c>
    </row>
    <row r="35" spans="2:3" ht="12.75">
      <c r="B35" s="95" t="str">
        <f>'Input data'!B58</f>
        <v>Floating road depth (m)</v>
      </c>
      <c r="C35" s="8">
        <f>'Input data'!C58</f>
        <v>0.5</v>
      </c>
    </row>
    <row r="36" spans="2:3" ht="14.25">
      <c r="B36" s="3" t="s">
        <v>106</v>
      </c>
      <c r="C36" s="4">
        <f>C33*C34</f>
        <v>795592.5</v>
      </c>
    </row>
    <row r="37" spans="2:3" ht="12.75">
      <c r="B37" s="95" t="s">
        <v>99</v>
      </c>
      <c r="C37" s="8">
        <f>C33*C34*C35</f>
        <v>397796.25</v>
      </c>
    </row>
    <row r="38" spans="2:3" ht="12.75">
      <c r="B38" s="96" t="s">
        <v>100</v>
      </c>
      <c r="C38" s="4"/>
    </row>
    <row r="39" spans="2:3" ht="12.75">
      <c r="B39" s="94" t="str">
        <f>'Input data'!B61</f>
        <v>Length of access track that is excavated road (m)</v>
      </c>
      <c r="C39" s="6">
        <f>'Input data'!C61</f>
        <v>31510</v>
      </c>
    </row>
    <row r="40" spans="2:3" ht="12.75">
      <c r="B40" s="94" t="str">
        <f>'Input data'!B62</f>
        <v>Excavated road width (m)</v>
      </c>
      <c r="C40" s="6">
        <f>'Input data'!C62</f>
        <v>9.25</v>
      </c>
    </row>
    <row r="41" spans="2:3" ht="12.75">
      <c r="B41" s="95" t="str">
        <f>'Input data'!B63</f>
        <v>Excavated road depth (m)</v>
      </c>
      <c r="C41" s="8">
        <f>'Input data'!C63</f>
        <v>1</v>
      </c>
    </row>
    <row r="42" spans="2:3" ht="14.25">
      <c r="B42" s="3" t="s">
        <v>109</v>
      </c>
      <c r="C42" s="4">
        <f>C39*C40</f>
        <v>291467.5</v>
      </c>
    </row>
    <row r="43" spans="2:3" ht="12.75">
      <c r="B43" s="95" t="s">
        <v>102</v>
      </c>
      <c r="C43" s="8">
        <f>C39*C40*C41</f>
        <v>291467.5</v>
      </c>
    </row>
    <row r="44" spans="2:3" ht="12.75">
      <c r="B44" s="96" t="s">
        <v>103</v>
      </c>
      <c r="C44" s="4"/>
    </row>
    <row r="45" spans="2:3" ht="12.75">
      <c r="B45" s="34" t="str">
        <f>'Input data'!B64</f>
        <v>Length of access track that is rock filled road (m)</v>
      </c>
      <c r="C45" s="6">
        <f>'Input data'!C64</f>
        <v>0</v>
      </c>
    </row>
    <row r="46" spans="2:3" ht="12.75">
      <c r="B46" s="34" t="str">
        <f>'Input data'!B65</f>
        <v>Rock-filled road width (m)</v>
      </c>
      <c r="C46" s="6">
        <f>'Input data'!C65</f>
        <v>0</v>
      </c>
    </row>
    <row r="47" spans="2:3" ht="12.75">
      <c r="B47" s="45" t="str">
        <f>'Input data'!B66</f>
        <v>Rock-filled road depth (m)</v>
      </c>
      <c r="C47" s="8">
        <f>'Input data'!C66</f>
        <v>0</v>
      </c>
    </row>
    <row r="48" spans="2:3" ht="14.25">
      <c r="B48" s="3" t="s">
        <v>109</v>
      </c>
      <c r="C48" s="4">
        <f>C45*C46</f>
        <v>0</v>
      </c>
    </row>
    <row r="49" spans="2:3" ht="12.75">
      <c r="B49" s="95" t="s">
        <v>104</v>
      </c>
      <c r="C49" s="8">
        <f>C45*C46*C47</f>
        <v>0</v>
      </c>
    </row>
    <row r="50" spans="2:3" ht="14.25">
      <c r="B50" s="3" t="s">
        <v>110</v>
      </c>
      <c r="C50" s="4">
        <f>C36+C42+C48</f>
        <v>1087060</v>
      </c>
    </row>
    <row r="51" spans="2:3" ht="14.25">
      <c r="B51" s="45" t="s">
        <v>111</v>
      </c>
      <c r="C51" s="8">
        <f>C37+C43+C49</f>
        <v>689263.75</v>
      </c>
    </row>
    <row r="52" ht="13.5" thickBot="1"/>
    <row r="53" spans="2:3" ht="15" thickBot="1">
      <c r="B53" s="27" t="s">
        <v>43</v>
      </c>
      <c r="C53" s="28">
        <f>C13+C21+C29+C51</f>
        <v>1558035.814</v>
      </c>
    </row>
    <row r="54" ht="13.5" thickBot="1"/>
    <row r="55" spans="2:3" ht="15" thickBot="1">
      <c r="B55" s="27" t="s">
        <v>112</v>
      </c>
      <c r="C55" s="28">
        <f>C12+C20+C28+C50</f>
        <v>1630042.54</v>
      </c>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Learmonth</cp:lastModifiedBy>
  <cp:lastPrinted>2008-02-06T11:55:44Z</cp:lastPrinted>
  <dcterms:created xsi:type="dcterms:W3CDTF">1996-10-14T23:33:28Z</dcterms:created>
  <dcterms:modified xsi:type="dcterms:W3CDTF">2009-10-04T19:32:41Z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